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TMR\2025 TMR\Trình HĐND\Trình Hội nghị BCH\DT NSNS năm 2026\"/>
    </mc:Choice>
  </mc:AlternateContent>
  <bookViews>
    <workbookView xWindow="0" yWindow="0" windowWidth="16860" windowHeight="4718" activeTab="6"/>
  </bookViews>
  <sheets>
    <sheet name="TH" sheetId="5" r:id="rId1"/>
    <sheet name="B2" sheetId="1" r:id="rId2"/>
    <sheet name="B3" sheetId="3" r:id="rId3"/>
    <sheet name="B4" sheetId="2" r:id="rId4"/>
    <sheet name="B5" sheetId="4" r:id="rId5"/>
    <sheet name="B6" sheetId="6" r:id="rId6"/>
    <sheet name="B7" sheetId="7" r:id="rId7"/>
    <sheet name="Thủy lợi phí" sheetId="10" state="hidden" r:id="rId8"/>
    <sheet name="B8" sheetId="8" r:id="rId9"/>
    <sheet name="DT Tiểu đổi Dân quân TT" sheetId="11" state="hidden" r:id="rId10"/>
    <sheet name="BL" sheetId="9" state="hidden" r:id="rId11"/>
  </sheets>
  <externalReferences>
    <externalReference r:id="rId1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5" i="7" l="1"/>
  <c r="H56" i="7"/>
  <c r="I56" i="7" s="1"/>
  <c r="I45" i="7" s="1"/>
  <c r="D56" i="7"/>
  <c r="D45" i="7" s="1"/>
  <c r="E45" i="7"/>
  <c r="F45" i="7"/>
  <c r="G45" i="7"/>
  <c r="H45" i="7"/>
  <c r="J56" i="7" l="1"/>
  <c r="J45" i="7" s="1"/>
  <c r="H218" i="7"/>
  <c r="I218" i="7" s="1"/>
  <c r="F259" i="9" l="1"/>
  <c r="F221" i="9"/>
  <c r="G221" i="9"/>
  <c r="H221" i="9"/>
  <c r="I221" i="9"/>
  <c r="J221" i="9"/>
  <c r="K221" i="9"/>
  <c r="L221" i="9"/>
  <c r="M221" i="9"/>
  <c r="N221" i="9"/>
  <c r="O221" i="9"/>
  <c r="P221" i="9"/>
  <c r="Q221" i="9"/>
  <c r="R221" i="9"/>
  <c r="S221" i="9"/>
  <c r="T221" i="9"/>
  <c r="U221" i="9"/>
  <c r="V221" i="9"/>
  <c r="W221" i="9"/>
  <c r="X221" i="9"/>
  <c r="Y221" i="9"/>
  <c r="Z221" i="9"/>
  <c r="E221" i="9"/>
  <c r="Y234" i="9"/>
  <c r="E234" i="9" s="1"/>
  <c r="Z234" i="9" s="1"/>
  <c r="Y233" i="9"/>
  <c r="G233" i="9"/>
  <c r="G232" i="9"/>
  <c r="F232" i="9"/>
  <c r="F231" i="9"/>
  <c r="Y231" i="9" s="1"/>
  <c r="F230" i="9"/>
  <c r="Y230" i="9" s="1"/>
  <c r="F229" i="9"/>
  <c r="Y229" i="9" s="1"/>
  <c r="G228" i="9"/>
  <c r="F228" i="9"/>
  <c r="Y228" i="9" s="1"/>
  <c r="Y227" i="9"/>
  <c r="W227" i="9"/>
  <c r="G227" i="9"/>
  <c r="F227" i="9"/>
  <c r="Y226" i="9"/>
  <c r="W226" i="9"/>
  <c r="G226" i="9"/>
  <c r="F226" i="9"/>
  <c r="Y225" i="9"/>
  <c r="W225" i="9"/>
  <c r="P225" i="9"/>
  <c r="K225" i="9"/>
  <c r="G225" i="9" l="1"/>
  <c r="E225" i="9" s="1"/>
  <c r="Z225" i="9" s="1"/>
  <c r="E233" i="9"/>
  <c r="Z233" i="9" s="1"/>
  <c r="O229" i="9"/>
  <c r="G229" i="9" s="1"/>
  <c r="E229" i="9" s="1"/>
  <c r="Z229" i="9" s="1"/>
  <c r="O231" i="9"/>
  <c r="G231" i="9" s="1"/>
  <c r="E231" i="9" s="1"/>
  <c r="Z231" i="9" s="1"/>
  <c r="E227" i="9"/>
  <c r="Z227" i="9" s="1"/>
  <c r="E226" i="9"/>
  <c r="Z226" i="9" s="1"/>
  <c r="E228" i="9"/>
  <c r="Z228" i="9" s="1"/>
  <c r="O230" i="9"/>
  <c r="G230" i="9" s="1"/>
  <c r="E230" i="9" s="1"/>
  <c r="Z230" i="9" s="1"/>
  <c r="Y232" i="9"/>
  <c r="E232" i="9" s="1"/>
  <c r="Z232" i="9" s="1"/>
  <c r="H86" i="7" l="1"/>
  <c r="I86" i="7" s="1"/>
  <c r="F235" i="7"/>
  <c r="H191" i="7"/>
  <c r="I191" i="7" s="1"/>
  <c r="H31" i="7"/>
  <c r="I31" i="7" s="1"/>
  <c r="H69" i="7"/>
  <c r="I69" i="7" s="1"/>
  <c r="G69" i="7"/>
  <c r="G31" i="7"/>
  <c r="D15" i="8"/>
  <c r="D19" i="8"/>
  <c r="E202" i="7" l="1"/>
  <c r="G192" i="7"/>
  <c r="G26" i="7"/>
  <c r="D26" i="7" s="1"/>
  <c r="J26" i="7" s="1"/>
  <c r="H124" i="7" l="1"/>
  <c r="I124" i="7" s="1"/>
  <c r="H85" i="7"/>
  <c r="I85" i="7" s="1"/>
  <c r="D85" i="7"/>
  <c r="J85" i="7" l="1"/>
  <c r="H164" i="7"/>
  <c r="I164" i="7" s="1"/>
  <c r="H111" i="7"/>
  <c r="I111" i="7" s="1"/>
  <c r="G165" i="7" l="1"/>
  <c r="H165" i="7" s="1"/>
  <c r="H133" i="7"/>
  <c r="I133" i="7" s="1"/>
  <c r="H201" i="7"/>
  <c r="I201" i="7" s="1"/>
  <c r="I198" i="7" s="1"/>
  <c r="H235" i="7"/>
  <c r="I235" i="7" s="1"/>
  <c r="I236" i="7"/>
  <c r="I214" i="7"/>
  <c r="I192" i="7"/>
  <c r="H182" i="7"/>
  <c r="I182" i="7" s="1"/>
  <c r="I190" i="7"/>
  <c r="I159" i="7"/>
  <c r="I181" i="7" l="1"/>
  <c r="I180" i="7" s="1"/>
  <c r="R9" i="3"/>
  <c r="C15" i="5"/>
  <c r="F14" i="5"/>
  <c r="G11" i="11" l="1"/>
  <c r="G8" i="11"/>
  <c r="G9" i="11"/>
  <c r="G10" i="11"/>
  <c r="G7" i="11"/>
  <c r="A4" i="11"/>
  <c r="E22" i="7" l="1"/>
  <c r="G159" i="7"/>
  <c r="E11" i="7"/>
  <c r="H55" i="7" l="1"/>
  <c r="I55" i="7" s="1"/>
  <c r="D55" i="7"/>
  <c r="H28" i="7"/>
  <c r="I28" i="7" s="1"/>
  <c r="D28" i="7"/>
  <c r="J28" i="7" l="1"/>
  <c r="J55" i="7"/>
  <c r="H99" i="7"/>
  <c r="I99" i="7" s="1"/>
  <c r="D99" i="7"/>
  <c r="J99" i="7" s="1"/>
  <c r="H100" i="7"/>
  <c r="I100" i="7" s="1"/>
  <c r="D100" i="7"/>
  <c r="H101" i="7"/>
  <c r="I101" i="7" s="1"/>
  <c r="D101" i="7"/>
  <c r="J100" i="7" l="1"/>
  <c r="J101" i="7"/>
  <c r="H122" i="7"/>
  <c r="I122" i="7" s="1"/>
  <c r="D122" i="7"/>
  <c r="J122" i="7" s="1"/>
  <c r="E119" i="7"/>
  <c r="F119" i="7"/>
  <c r="G119" i="7"/>
  <c r="E113" i="7"/>
  <c r="F113" i="7"/>
  <c r="G113" i="7"/>
  <c r="H118" i="7"/>
  <c r="I118" i="7" s="1"/>
  <c r="D118" i="7"/>
  <c r="J118" i="7" s="1"/>
  <c r="E109" i="7"/>
  <c r="F109" i="7"/>
  <c r="G109" i="7"/>
  <c r="H112" i="7"/>
  <c r="I112" i="7" s="1"/>
  <c r="D112" i="7"/>
  <c r="E103" i="7"/>
  <c r="F103" i="7"/>
  <c r="G103" i="7"/>
  <c r="H108" i="7"/>
  <c r="I108" i="7" s="1"/>
  <c r="D108" i="7"/>
  <c r="H102" i="7"/>
  <c r="I102" i="7" s="1"/>
  <c r="D102" i="7"/>
  <c r="J102" i="7" s="1"/>
  <c r="E88" i="7"/>
  <c r="G88" i="7"/>
  <c r="J108" i="7" l="1"/>
  <c r="J112" i="7"/>
  <c r="D200" i="7"/>
  <c r="J200" i="7" s="1"/>
  <c r="E198" i="7"/>
  <c r="F198" i="7"/>
  <c r="G198" i="7"/>
  <c r="H198" i="7"/>
  <c r="D195" i="7"/>
  <c r="J195" i="7" s="1"/>
  <c r="AB69" i="9" l="1"/>
  <c r="AC69" i="9" s="1"/>
  <c r="AB17" i="9"/>
  <c r="AC17" i="9" s="1"/>
  <c r="H240" i="7" l="1"/>
  <c r="I240" i="7" s="1"/>
  <c r="D240" i="7"/>
  <c r="E234" i="7"/>
  <c r="G234" i="7"/>
  <c r="H107" i="7"/>
  <c r="I107" i="7" s="1"/>
  <c r="D107" i="7"/>
  <c r="H71" i="7"/>
  <c r="I71" i="7" s="1"/>
  <c r="D71" i="7"/>
  <c r="J71" i="7" s="1"/>
  <c r="H33" i="7"/>
  <c r="I33" i="7" s="1"/>
  <c r="D33" i="7"/>
  <c r="J33" i="7" l="1"/>
  <c r="J107" i="7"/>
  <c r="J240" i="7"/>
  <c r="F89" i="7"/>
  <c r="F66" i="7"/>
  <c r="F58" i="7"/>
  <c r="F46" i="7"/>
  <c r="F39" i="7"/>
  <c r="F23" i="7"/>
  <c r="F12" i="7"/>
  <c r="F203" i="7"/>
  <c r="D154" i="7"/>
  <c r="J154" i="7" s="1"/>
  <c r="D149" i="7"/>
  <c r="J149" i="7" s="1"/>
  <c r="D144" i="7"/>
  <c r="J144" i="7" s="1"/>
  <c r="D139" i="7"/>
  <c r="J139" i="7" s="1"/>
  <c r="D134" i="7"/>
  <c r="H82" i="7"/>
  <c r="I82" i="7" s="1"/>
  <c r="D82" i="7"/>
  <c r="J82" i="7" l="1"/>
  <c r="H12" i="7"/>
  <c r="I12" i="7" s="1"/>
  <c r="F88" i="7"/>
  <c r="J134" i="7"/>
  <c r="H77" i="7"/>
  <c r="I77" i="7" s="1"/>
  <c r="H78" i="7"/>
  <c r="I78" i="7" s="1"/>
  <c r="D77" i="7"/>
  <c r="D78" i="7"/>
  <c r="H76" i="7"/>
  <c r="I76" i="7" s="1"/>
  <c r="D76" i="7"/>
  <c r="J77" i="7" l="1"/>
  <c r="J76" i="7"/>
  <c r="J78" i="7"/>
  <c r="H121" i="7"/>
  <c r="I121" i="7" s="1"/>
  <c r="D121" i="7"/>
  <c r="H115" i="7"/>
  <c r="I115" i="7" s="1"/>
  <c r="D115" i="7"/>
  <c r="H106" i="7"/>
  <c r="I106" i="7" s="1"/>
  <c r="D106" i="7"/>
  <c r="H98" i="7"/>
  <c r="I98" i="7" s="1"/>
  <c r="D98" i="7"/>
  <c r="H116" i="7"/>
  <c r="I116" i="7" s="1"/>
  <c r="D116" i="7"/>
  <c r="H117" i="7"/>
  <c r="I117" i="7" s="1"/>
  <c r="D117" i="7"/>
  <c r="H64" i="7"/>
  <c r="I64" i="7" s="1"/>
  <c r="E57" i="7"/>
  <c r="F57" i="7"/>
  <c r="G57" i="7"/>
  <c r="D64" i="7"/>
  <c r="J64" i="7" s="1"/>
  <c r="H53" i="7"/>
  <c r="I53" i="7" s="1"/>
  <c r="D53" i="7"/>
  <c r="F22" i="7"/>
  <c r="G22" i="7"/>
  <c r="F11" i="7"/>
  <c r="G11" i="7"/>
  <c r="H30" i="7"/>
  <c r="I30" i="7" s="1"/>
  <c r="D30" i="7"/>
  <c r="H29" i="7"/>
  <c r="I29" i="7" s="1"/>
  <c r="D29" i="7"/>
  <c r="J29" i="7" s="1"/>
  <c r="H27" i="7"/>
  <c r="I27" i="7" s="1"/>
  <c r="D27" i="7"/>
  <c r="J117" i="7" l="1"/>
  <c r="J98" i="7"/>
  <c r="J106" i="7"/>
  <c r="J121" i="7"/>
  <c r="J27" i="7"/>
  <c r="J115" i="7"/>
  <c r="J53" i="7"/>
  <c r="J30" i="7"/>
  <c r="J116" i="7"/>
  <c r="H225" i="7"/>
  <c r="I225" i="7" s="1"/>
  <c r="D225" i="7"/>
  <c r="J225" i="7" l="1"/>
  <c r="C12" i="10"/>
  <c r="C10" i="7" l="1"/>
  <c r="H123" i="7"/>
  <c r="I123" i="7" s="1"/>
  <c r="I165" i="7"/>
  <c r="I158" i="7" s="1"/>
  <c r="H60" i="7"/>
  <c r="I60" i="7" s="1"/>
  <c r="C11" i="6" l="1"/>
  <c r="F10" i="1" l="1"/>
  <c r="F152" i="7"/>
  <c r="Z324" i="9"/>
  <c r="Y323" i="9"/>
  <c r="X323" i="9"/>
  <c r="W323" i="9"/>
  <c r="V323" i="9"/>
  <c r="U323" i="9"/>
  <c r="T323" i="9"/>
  <c r="S323" i="9"/>
  <c r="R323" i="9"/>
  <c r="Q323" i="9"/>
  <c r="P323" i="9"/>
  <c r="O323" i="9"/>
  <c r="N323" i="9"/>
  <c r="M323" i="9"/>
  <c r="L323" i="9"/>
  <c r="K323" i="9"/>
  <c r="J323" i="9"/>
  <c r="I323" i="9"/>
  <c r="H323" i="9"/>
  <c r="G323" i="9"/>
  <c r="F323" i="9"/>
  <c r="E323" i="9"/>
  <c r="D323" i="9"/>
  <c r="C323" i="9"/>
  <c r="Z322" i="9"/>
  <c r="Z321" i="9" s="1"/>
  <c r="Y321" i="9"/>
  <c r="X321" i="9"/>
  <c r="W321" i="9"/>
  <c r="V321" i="9"/>
  <c r="U321" i="9"/>
  <c r="T321" i="9"/>
  <c r="S321" i="9"/>
  <c r="R321" i="9"/>
  <c r="Q321" i="9"/>
  <c r="P321" i="9"/>
  <c r="O321" i="9"/>
  <c r="N321" i="9"/>
  <c r="M321" i="9"/>
  <c r="L321" i="9"/>
  <c r="K321" i="9"/>
  <c r="J321" i="9"/>
  <c r="I321" i="9"/>
  <c r="H321" i="9"/>
  <c r="G321" i="9"/>
  <c r="F321" i="9"/>
  <c r="E321" i="9"/>
  <c r="D321" i="9"/>
  <c r="C321" i="9"/>
  <c r="Y320" i="9"/>
  <c r="Y319" i="9" s="1"/>
  <c r="T320" i="9"/>
  <c r="T319" i="9" s="1"/>
  <c r="R320" i="9"/>
  <c r="O320" i="9"/>
  <c r="O319" i="9" s="1"/>
  <c r="M320" i="9"/>
  <c r="X319" i="9"/>
  <c r="W319" i="9"/>
  <c r="V319" i="9"/>
  <c r="U319" i="9"/>
  <c r="S319" i="9"/>
  <c r="R319" i="9"/>
  <c r="Q319" i="9"/>
  <c r="P319" i="9"/>
  <c r="N319" i="9"/>
  <c r="L319" i="9"/>
  <c r="K319" i="9"/>
  <c r="J319" i="9"/>
  <c r="I319" i="9"/>
  <c r="H319" i="9"/>
  <c r="F319" i="9"/>
  <c r="AC319" i="9" s="1"/>
  <c r="Y318" i="9"/>
  <c r="T318" i="9"/>
  <c r="R318" i="9"/>
  <c r="O318" i="9"/>
  <c r="AC317" i="9"/>
  <c r="Y317" i="9"/>
  <c r="T317" i="9"/>
  <c r="R317" i="9"/>
  <c r="O317" i="9"/>
  <c r="AC316" i="9"/>
  <c r="Y316" i="9"/>
  <c r="T316" i="9"/>
  <c r="R316" i="9"/>
  <c r="O316" i="9"/>
  <c r="AC315" i="9"/>
  <c r="Y315" i="9"/>
  <c r="T315" i="9"/>
  <c r="R315" i="9"/>
  <c r="O315" i="9"/>
  <c r="AC314" i="9"/>
  <c r="Y314" i="9"/>
  <c r="T314" i="9"/>
  <c r="R314" i="9"/>
  <c r="O314" i="9"/>
  <c r="Y313" i="9"/>
  <c r="T313" i="9"/>
  <c r="R313" i="9"/>
  <c r="O313" i="9"/>
  <c r="Y312" i="9"/>
  <c r="T312" i="9"/>
  <c r="R312" i="9"/>
  <c r="O312" i="9"/>
  <c r="Y311" i="9"/>
  <c r="T311" i="9"/>
  <c r="R311" i="9"/>
  <c r="O311" i="9"/>
  <c r="Y310" i="9"/>
  <c r="T310" i="9"/>
  <c r="G310" i="9" s="1"/>
  <c r="E310" i="9" s="1"/>
  <c r="Z310" i="9" s="1"/>
  <c r="R310" i="9"/>
  <c r="O310" i="9"/>
  <c r="Y309" i="9"/>
  <c r="T309" i="9"/>
  <c r="R309" i="9"/>
  <c r="O309" i="9"/>
  <c r="X308" i="9"/>
  <c r="W308" i="9"/>
  <c r="V308" i="9"/>
  <c r="U308" i="9"/>
  <c r="S308" i="9"/>
  <c r="Q308" i="9"/>
  <c r="P308" i="9"/>
  <c r="N308" i="9"/>
  <c r="M308" i="9"/>
  <c r="L308" i="9"/>
  <c r="K308" i="9"/>
  <c r="J308" i="9"/>
  <c r="I308" i="9"/>
  <c r="H308" i="9"/>
  <c r="F308" i="9"/>
  <c r="AC308" i="9" s="1"/>
  <c r="Y307" i="9"/>
  <c r="T307" i="9"/>
  <c r="R307" i="9"/>
  <c r="O307" i="9"/>
  <c r="Y306" i="9"/>
  <c r="T306" i="9"/>
  <c r="R306" i="9"/>
  <c r="O306" i="9"/>
  <c r="Y305" i="9"/>
  <c r="T305" i="9"/>
  <c r="R305" i="9"/>
  <c r="O305" i="9"/>
  <c r="Y304" i="9"/>
  <c r="T304" i="9"/>
  <c r="R304" i="9"/>
  <c r="O304" i="9"/>
  <c r="Y303" i="9"/>
  <c r="T303" i="9"/>
  <c r="R303" i="9"/>
  <c r="G303" i="9" s="1"/>
  <c r="E303" i="9" s="1"/>
  <c r="Z303" i="9" s="1"/>
  <c r="O303" i="9"/>
  <c r="Y302" i="9"/>
  <c r="T302" i="9"/>
  <c r="R302" i="9"/>
  <c r="O302" i="9"/>
  <c r="Y301" i="9"/>
  <c r="T301" i="9"/>
  <c r="R301" i="9"/>
  <c r="O301" i="9"/>
  <c r="Y300" i="9"/>
  <c r="T300" i="9"/>
  <c r="R300" i="9"/>
  <c r="O300" i="9"/>
  <c r="Y299" i="9"/>
  <c r="T299" i="9"/>
  <c r="R299" i="9"/>
  <c r="O299" i="9"/>
  <c r="Y298" i="9"/>
  <c r="T298" i="9"/>
  <c r="R298" i="9"/>
  <c r="O298" i="9"/>
  <c r="Y297" i="9"/>
  <c r="T297" i="9"/>
  <c r="R297" i="9"/>
  <c r="O297" i="9"/>
  <c r="Y296" i="9"/>
  <c r="T296" i="9"/>
  <c r="R296" i="9"/>
  <c r="O296" i="9"/>
  <c r="Y295" i="9"/>
  <c r="T295" i="9"/>
  <c r="R295" i="9"/>
  <c r="O295" i="9"/>
  <c r="Y294" i="9"/>
  <c r="T294" i="9"/>
  <c r="R294" i="9"/>
  <c r="O294" i="9"/>
  <c r="Y293" i="9"/>
  <c r="T293" i="9"/>
  <c r="R293" i="9"/>
  <c r="O293" i="9"/>
  <c r="Y292" i="9"/>
  <c r="T292" i="9"/>
  <c r="R292" i="9"/>
  <c r="O292" i="9"/>
  <c r="Y291" i="9"/>
  <c r="T291" i="9"/>
  <c r="R291" i="9"/>
  <c r="O291" i="9"/>
  <c r="Y290" i="9"/>
  <c r="T290" i="9"/>
  <c r="R290" i="9"/>
  <c r="O290" i="9"/>
  <c r="Y289" i="9"/>
  <c r="T289" i="9"/>
  <c r="R289" i="9"/>
  <c r="O289" i="9"/>
  <c r="Y288" i="9"/>
  <c r="T288" i="9"/>
  <c r="R288" i="9"/>
  <c r="O288" i="9"/>
  <c r="Y287" i="9"/>
  <c r="T287" i="9"/>
  <c r="R287" i="9"/>
  <c r="O287" i="9"/>
  <c r="Y286" i="9"/>
  <c r="T286" i="9"/>
  <c r="R286" i="9"/>
  <c r="O286" i="9"/>
  <c r="Y285" i="9"/>
  <c r="T285" i="9"/>
  <c r="R285" i="9"/>
  <c r="O285" i="9"/>
  <c r="K284" i="9"/>
  <c r="R284" i="9" s="1"/>
  <c r="X283" i="9"/>
  <c r="W283" i="9"/>
  <c r="V283" i="9"/>
  <c r="V282" i="9" s="1"/>
  <c r="U283" i="9"/>
  <c r="S283" i="9"/>
  <c r="Q283" i="9"/>
  <c r="Q282" i="9" s="1"/>
  <c r="P283" i="9"/>
  <c r="P282" i="9" s="1"/>
  <c r="N283" i="9"/>
  <c r="M283" i="9"/>
  <c r="L283" i="9"/>
  <c r="J283" i="9"/>
  <c r="J282" i="9" s="1"/>
  <c r="I283" i="9"/>
  <c r="H283" i="9"/>
  <c r="F283" i="9"/>
  <c r="AC283" i="9" s="1"/>
  <c r="D282" i="9"/>
  <c r="C282" i="9"/>
  <c r="F281" i="9"/>
  <c r="O281" i="9" s="1"/>
  <c r="F280" i="9"/>
  <c r="P279" i="9"/>
  <c r="F279" i="9"/>
  <c r="Y279" i="9" s="1"/>
  <c r="P278" i="9"/>
  <c r="F278" i="9"/>
  <c r="R278" i="9" s="1"/>
  <c r="P277" i="9"/>
  <c r="F277" i="9"/>
  <c r="R277" i="9" s="1"/>
  <c r="P276" i="9"/>
  <c r="F276" i="9"/>
  <c r="Y276" i="9" s="1"/>
  <c r="X275" i="9"/>
  <c r="W275" i="9"/>
  <c r="V275" i="9"/>
  <c r="U275" i="9"/>
  <c r="T275" i="9"/>
  <c r="S275" i="9"/>
  <c r="Q275" i="9"/>
  <c r="N275" i="9"/>
  <c r="M275" i="9"/>
  <c r="L275" i="9"/>
  <c r="K275" i="9"/>
  <c r="J275" i="9"/>
  <c r="I275" i="9"/>
  <c r="H275" i="9"/>
  <c r="F274" i="9"/>
  <c r="F273" i="9"/>
  <c r="O273" i="9" s="1"/>
  <c r="G273" i="9" s="1"/>
  <c r="P272" i="9"/>
  <c r="F272" i="9"/>
  <c r="O272" i="9" s="1"/>
  <c r="F271" i="9"/>
  <c r="F270" i="9"/>
  <c r="Y270" i="9" s="1"/>
  <c r="R269" i="9"/>
  <c r="P269" i="9"/>
  <c r="F269" i="9"/>
  <c r="Y269" i="9" s="1"/>
  <c r="P268" i="9"/>
  <c r="F268" i="9"/>
  <c r="Y268" i="9" s="1"/>
  <c r="P267" i="9"/>
  <c r="I267" i="9"/>
  <c r="I266" i="9" s="1"/>
  <c r="F267" i="9"/>
  <c r="R267" i="9" s="1"/>
  <c r="X266" i="9"/>
  <c r="W266" i="9"/>
  <c r="V266" i="9"/>
  <c r="U266" i="9"/>
  <c r="T266" i="9"/>
  <c r="S266" i="9"/>
  <c r="Q266" i="9"/>
  <c r="N266" i="9"/>
  <c r="M266" i="9"/>
  <c r="L266" i="9"/>
  <c r="K266" i="9"/>
  <c r="J266" i="9"/>
  <c r="H266" i="9"/>
  <c r="Y265" i="9"/>
  <c r="R265" i="9"/>
  <c r="G265" i="9" s="1"/>
  <c r="Y264" i="9"/>
  <c r="R264" i="9"/>
  <c r="G264" i="9" s="1"/>
  <c r="E264" i="9" s="1"/>
  <c r="Z264" i="9" s="1"/>
  <c r="Y263" i="9"/>
  <c r="R263" i="9"/>
  <c r="G263" i="9" s="1"/>
  <c r="Y262" i="9"/>
  <c r="R262" i="9"/>
  <c r="Y261" i="9"/>
  <c r="R261" i="9"/>
  <c r="G261" i="9" s="1"/>
  <c r="E261" i="9" s="1"/>
  <c r="Z261" i="9" s="1"/>
  <c r="Y260" i="9"/>
  <c r="R260" i="9"/>
  <c r="G260" i="9" s="1"/>
  <c r="Y259" i="9"/>
  <c r="R259" i="9"/>
  <c r="G259" i="9" s="1"/>
  <c r="X258" i="9"/>
  <c r="W258" i="9"/>
  <c r="V258" i="9"/>
  <c r="U258" i="9"/>
  <c r="T258" i="9"/>
  <c r="S258" i="9"/>
  <c r="Q258" i="9"/>
  <c r="P258" i="9"/>
  <c r="O258" i="9"/>
  <c r="N258" i="9"/>
  <c r="M258" i="9"/>
  <c r="L258" i="9"/>
  <c r="K258" i="9"/>
  <c r="J258" i="9"/>
  <c r="I258" i="9"/>
  <c r="H258" i="9"/>
  <c r="F258" i="9"/>
  <c r="AC258" i="9" s="1"/>
  <c r="Y257" i="9"/>
  <c r="O257" i="9"/>
  <c r="G257" i="9" s="1"/>
  <c r="Y256" i="9"/>
  <c r="O256" i="9"/>
  <c r="G256" i="9" s="1"/>
  <c r="Y255" i="9"/>
  <c r="R255" i="9"/>
  <c r="O255" i="9"/>
  <c r="G255" i="9"/>
  <c r="Y254" i="9"/>
  <c r="R254" i="9"/>
  <c r="G254" i="9"/>
  <c r="Y253" i="9"/>
  <c r="R253" i="9"/>
  <c r="G253" i="9" s="1"/>
  <c r="Y252" i="9"/>
  <c r="R252" i="9"/>
  <c r="O252" i="9"/>
  <c r="G252" i="9" s="1"/>
  <c r="E252" i="9" s="1"/>
  <c r="Z252" i="9" s="1"/>
  <c r="Y251" i="9"/>
  <c r="R251" i="9"/>
  <c r="G251" i="9" s="1"/>
  <c r="Y250" i="9"/>
  <c r="R250" i="9"/>
  <c r="O250" i="9"/>
  <c r="Y249" i="9"/>
  <c r="R249" i="9"/>
  <c r="G249" i="9" s="1"/>
  <c r="E249" i="9" s="1"/>
  <c r="Z249" i="9" s="1"/>
  <c r="Y248" i="9"/>
  <c r="R248" i="9"/>
  <c r="G248" i="9" s="1"/>
  <c r="Y247" i="9"/>
  <c r="R247" i="9"/>
  <c r="G247" i="9" s="1"/>
  <c r="E247" i="9" s="1"/>
  <c r="Z247" i="9" s="1"/>
  <c r="Y246" i="9"/>
  <c r="R246" i="9"/>
  <c r="G246" i="9" s="1"/>
  <c r="Y245" i="9"/>
  <c r="R245" i="9"/>
  <c r="G245" i="9" s="1"/>
  <c r="E245" i="9" s="1"/>
  <c r="Z245" i="9" s="1"/>
  <c r="Y244" i="9"/>
  <c r="R244" i="9"/>
  <c r="G244" i="9" s="1"/>
  <c r="Y243" i="9"/>
  <c r="R243" i="9"/>
  <c r="O243" i="9"/>
  <c r="Y242" i="9"/>
  <c r="R242" i="9"/>
  <c r="O242" i="9"/>
  <c r="Y241" i="9"/>
  <c r="R241" i="9"/>
  <c r="G241" i="9" s="1"/>
  <c r="Y240" i="9"/>
  <c r="R240" i="9"/>
  <c r="X239" i="9"/>
  <c r="W239" i="9"/>
  <c r="W238" i="9" s="1"/>
  <c r="V239" i="9"/>
  <c r="U239" i="9"/>
  <c r="T239" i="9"/>
  <c r="S239" i="9"/>
  <c r="S238" i="9" s="1"/>
  <c r="Q239" i="9"/>
  <c r="P239" i="9"/>
  <c r="N239" i="9"/>
  <c r="M239" i="9"/>
  <c r="M238" i="9" s="1"/>
  <c r="L239" i="9"/>
  <c r="K239" i="9"/>
  <c r="J239" i="9"/>
  <c r="I239" i="9"/>
  <c r="H239" i="9"/>
  <c r="F239" i="9"/>
  <c r="AC239" i="9" s="1"/>
  <c r="U238" i="9"/>
  <c r="D238" i="9"/>
  <c r="C238" i="9"/>
  <c r="C237" i="9" s="1"/>
  <c r="Y224" i="9"/>
  <c r="W224" i="9"/>
  <c r="O224" i="9"/>
  <c r="G224" i="9" s="1"/>
  <c r="E224" i="9" s="1"/>
  <c r="Z224" i="9" s="1"/>
  <c r="Y223" i="9"/>
  <c r="W223" i="9"/>
  <c r="G223" i="9"/>
  <c r="Y222" i="9"/>
  <c r="W222" i="9"/>
  <c r="G222" i="9"/>
  <c r="X220" i="9"/>
  <c r="T220" i="9"/>
  <c r="S220" i="9"/>
  <c r="R220" i="9"/>
  <c r="Q220" i="9"/>
  <c r="P220" i="9"/>
  <c r="N220" i="9"/>
  <c r="M220" i="9"/>
  <c r="L220" i="9"/>
  <c r="K220" i="9"/>
  <c r="J220" i="9"/>
  <c r="I220" i="9"/>
  <c r="H220" i="9"/>
  <c r="AC221" i="9"/>
  <c r="V220" i="9"/>
  <c r="U220" i="9"/>
  <c r="D220" i="9"/>
  <c r="C220" i="9"/>
  <c r="Y207" i="9"/>
  <c r="O207" i="9"/>
  <c r="G207" i="9" s="1"/>
  <c r="V206" i="9"/>
  <c r="Y206" i="9" s="1"/>
  <c r="M206" i="9"/>
  <c r="V205" i="9"/>
  <c r="Y205" i="9" s="1"/>
  <c r="M205" i="9"/>
  <c r="V204" i="9"/>
  <c r="Y204" i="9" s="1"/>
  <c r="O204" i="9"/>
  <c r="M204" i="9"/>
  <c r="V203" i="9"/>
  <c r="Y203" i="9" s="1"/>
  <c r="O203" i="9"/>
  <c r="M203" i="9"/>
  <c r="V202" i="9"/>
  <c r="Y202" i="9" s="1"/>
  <c r="O202" i="9"/>
  <c r="M202" i="9"/>
  <c r="V201" i="9"/>
  <c r="Y201" i="9" s="1"/>
  <c r="O201" i="9"/>
  <c r="M201" i="9"/>
  <c r="V200" i="9"/>
  <c r="O200" i="9"/>
  <c r="M200" i="9"/>
  <c r="V199" i="9"/>
  <c r="Y199" i="9" s="1"/>
  <c r="O199" i="9"/>
  <c r="M199" i="9"/>
  <c r="W198" i="9"/>
  <c r="H198" i="9"/>
  <c r="F198" i="9"/>
  <c r="O198" i="9" s="1"/>
  <c r="V197" i="9"/>
  <c r="M197" i="9"/>
  <c r="V196" i="9"/>
  <c r="Y196" i="9" s="1"/>
  <c r="O196" i="9"/>
  <c r="M196" i="9"/>
  <c r="V195" i="9"/>
  <c r="Y195" i="9" s="1"/>
  <c r="O195" i="9"/>
  <c r="M195" i="9"/>
  <c r="V194" i="9"/>
  <c r="Y194" i="9" s="1"/>
  <c r="O194" i="9"/>
  <c r="M194" i="9"/>
  <c r="V193" i="9"/>
  <c r="Y193" i="9" s="1"/>
  <c r="O193" i="9"/>
  <c r="M193" i="9"/>
  <c r="V192" i="9"/>
  <c r="Y192" i="9" s="1"/>
  <c r="O192" i="9"/>
  <c r="M192" i="9"/>
  <c r="V191" i="9"/>
  <c r="Y191" i="9" s="1"/>
  <c r="O191" i="9"/>
  <c r="M191" i="9"/>
  <c r="W190" i="9"/>
  <c r="F190" i="9"/>
  <c r="W189" i="9"/>
  <c r="H189" i="9"/>
  <c r="F189" i="9"/>
  <c r="V188" i="9"/>
  <c r="Y188" i="9" s="1"/>
  <c r="M188" i="9"/>
  <c r="V187" i="9"/>
  <c r="Y187" i="9" s="1"/>
  <c r="O187" i="9"/>
  <c r="M187" i="9"/>
  <c r="V186" i="9"/>
  <c r="Y186" i="9" s="1"/>
  <c r="M186" i="9"/>
  <c r="V185" i="9"/>
  <c r="Y185" i="9" s="1"/>
  <c r="M185" i="9"/>
  <c r="V184" i="9"/>
  <c r="Y184" i="9" s="1"/>
  <c r="M184" i="9"/>
  <c r="V183" i="9"/>
  <c r="M183" i="9"/>
  <c r="V182" i="9"/>
  <c r="Y182" i="9" s="1"/>
  <c r="M182" i="9"/>
  <c r="V181" i="9"/>
  <c r="M181" i="9"/>
  <c r="V180" i="9"/>
  <c r="Y180" i="9" s="1"/>
  <c r="M180" i="9"/>
  <c r="V179" i="9"/>
  <c r="M179" i="9"/>
  <c r="V178" i="9"/>
  <c r="Y178" i="9" s="1"/>
  <c r="M178" i="9"/>
  <c r="W177" i="9"/>
  <c r="V177" i="9"/>
  <c r="Y177" i="9" s="1"/>
  <c r="M177" i="9"/>
  <c r="W176" i="9"/>
  <c r="V176" i="9"/>
  <c r="M176" i="9"/>
  <c r="V175" i="9"/>
  <c r="Y175" i="9" s="1"/>
  <c r="M175" i="9"/>
  <c r="V174" i="9"/>
  <c r="M174" i="9"/>
  <c r="V173" i="9"/>
  <c r="Y173" i="9" s="1"/>
  <c r="M173" i="9"/>
  <c r="V172" i="9"/>
  <c r="M172" i="9"/>
  <c r="V171" i="9"/>
  <c r="Y171" i="9" s="1"/>
  <c r="M171" i="9"/>
  <c r="V170" i="9"/>
  <c r="M170" i="9"/>
  <c r="V169" i="9"/>
  <c r="Y169" i="9" s="1"/>
  <c r="M169" i="9"/>
  <c r="V168" i="9"/>
  <c r="M168" i="9"/>
  <c r="V167" i="9"/>
  <c r="Y167" i="9" s="1"/>
  <c r="M167" i="9"/>
  <c r="V166" i="9"/>
  <c r="M166" i="9"/>
  <c r="V165" i="9"/>
  <c r="Y165" i="9" s="1"/>
  <c r="M165" i="9"/>
  <c r="V164" i="9"/>
  <c r="Y164" i="9" s="1"/>
  <c r="M164" i="9"/>
  <c r="V163" i="9"/>
  <c r="Y163" i="9" s="1"/>
  <c r="M163" i="9"/>
  <c r="X162" i="9"/>
  <c r="U162" i="9"/>
  <c r="T162" i="9"/>
  <c r="S162" i="9"/>
  <c r="R162" i="9"/>
  <c r="Q162" i="9"/>
  <c r="P162" i="9"/>
  <c r="N162" i="9"/>
  <c r="L162" i="9"/>
  <c r="K162" i="9"/>
  <c r="J162" i="9"/>
  <c r="I162" i="9"/>
  <c r="Y161" i="9"/>
  <c r="G161" i="9"/>
  <c r="Y160" i="9"/>
  <c r="O160" i="9"/>
  <c r="M160" i="9"/>
  <c r="Y159" i="9"/>
  <c r="O159" i="9"/>
  <c r="M159" i="9"/>
  <c r="Y158" i="9"/>
  <c r="O158" i="9"/>
  <c r="M158" i="9"/>
  <c r="Y157" i="9"/>
  <c r="O157" i="9"/>
  <c r="M157" i="9"/>
  <c r="G157" i="9" s="1"/>
  <c r="Y156" i="9"/>
  <c r="O156" i="9"/>
  <c r="M156" i="9"/>
  <c r="V155" i="9"/>
  <c r="Y155" i="9" s="1"/>
  <c r="M155" i="9"/>
  <c r="V154" i="9"/>
  <c r="M154" i="9"/>
  <c r="F153" i="9"/>
  <c r="V153" i="9" s="1"/>
  <c r="V152" i="9"/>
  <c r="Y152" i="9" s="1"/>
  <c r="M152" i="9"/>
  <c r="G152" i="9" s="1"/>
  <c r="V151" i="9"/>
  <c r="Y151" i="9" s="1"/>
  <c r="M151" i="9"/>
  <c r="V150" i="9"/>
  <c r="Y150" i="9" s="1"/>
  <c r="M150" i="9"/>
  <c r="G149" i="9"/>
  <c r="F149" i="9"/>
  <c r="F145" i="9" s="1"/>
  <c r="V148" i="9"/>
  <c r="M148" i="9"/>
  <c r="V147" i="9"/>
  <c r="M147" i="9"/>
  <c r="V146" i="9"/>
  <c r="Y146" i="9" s="1"/>
  <c r="M146" i="9"/>
  <c r="G146" i="9" s="1"/>
  <c r="X145" i="9"/>
  <c r="W145" i="9"/>
  <c r="U145" i="9"/>
  <c r="U101" i="9" s="1"/>
  <c r="T145" i="9"/>
  <c r="T101" i="9" s="1"/>
  <c r="S145" i="9"/>
  <c r="R145" i="9"/>
  <c r="R101" i="9" s="1"/>
  <c r="Q145" i="9"/>
  <c r="Q101" i="9" s="1"/>
  <c r="P145" i="9"/>
  <c r="P101" i="9" s="1"/>
  <c r="N145" i="9"/>
  <c r="N101" i="9" s="1"/>
  <c r="L145" i="9"/>
  <c r="L101" i="9" s="1"/>
  <c r="K145" i="9"/>
  <c r="K101" i="9" s="1"/>
  <c r="J145" i="9"/>
  <c r="J101" i="9" s="1"/>
  <c r="I145" i="9"/>
  <c r="I101" i="9" s="1"/>
  <c r="H145" i="9"/>
  <c r="H101" i="9" s="1"/>
  <c r="Y144" i="9"/>
  <c r="G144" i="9"/>
  <c r="Y143" i="9"/>
  <c r="G143" i="9"/>
  <c r="V142" i="9"/>
  <c r="Y142" i="9" s="1"/>
  <c r="M142" i="9"/>
  <c r="Y141" i="9"/>
  <c r="O141" i="9"/>
  <c r="M141" i="9"/>
  <c r="Y140" i="9"/>
  <c r="O140" i="9"/>
  <c r="M140" i="9"/>
  <c r="Y139" i="9"/>
  <c r="O139" i="9"/>
  <c r="M139" i="9"/>
  <c r="Y138" i="9"/>
  <c r="O138" i="9"/>
  <c r="M138" i="9"/>
  <c r="Y137" i="9"/>
  <c r="O137" i="9"/>
  <c r="M137" i="9"/>
  <c r="Y136" i="9"/>
  <c r="O136" i="9"/>
  <c r="M136" i="9"/>
  <c r="Y135" i="9"/>
  <c r="O135" i="9"/>
  <c r="M135" i="9"/>
  <c r="Y134" i="9"/>
  <c r="O134" i="9"/>
  <c r="M134" i="9"/>
  <c r="Y133" i="9"/>
  <c r="O133" i="9"/>
  <c r="M133" i="9"/>
  <c r="V132" i="9"/>
  <c r="Y132" i="9" s="1"/>
  <c r="M132" i="9"/>
  <c r="Y131" i="9"/>
  <c r="O131" i="9"/>
  <c r="M131" i="9"/>
  <c r="Y130" i="9"/>
  <c r="O130" i="9"/>
  <c r="M130" i="9"/>
  <c r="Y129" i="9"/>
  <c r="O129" i="9"/>
  <c r="M129" i="9"/>
  <c r="Y128" i="9"/>
  <c r="O128" i="9"/>
  <c r="M128" i="9"/>
  <c r="Y127" i="9"/>
  <c r="O127" i="9"/>
  <c r="M127" i="9"/>
  <c r="Y126" i="9"/>
  <c r="O126" i="9"/>
  <c r="M126" i="9"/>
  <c r="Y125" i="9"/>
  <c r="O125" i="9"/>
  <c r="M125" i="9"/>
  <c r="Y124" i="9"/>
  <c r="O124" i="9"/>
  <c r="M124" i="9"/>
  <c r="V123" i="9"/>
  <c r="Y123" i="9" s="1"/>
  <c r="M123" i="9"/>
  <c r="V122" i="9"/>
  <c r="Y122" i="9" s="1"/>
  <c r="M122" i="9"/>
  <c r="V121" i="9"/>
  <c r="Y121" i="9" s="1"/>
  <c r="M121" i="9"/>
  <c r="V120" i="9"/>
  <c r="Y120" i="9" s="1"/>
  <c r="M120" i="9"/>
  <c r="Y119" i="9"/>
  <c r="F119" i="9"/>
  <c r="V118" i="9"/>
  <c r="M118" i="9"/>
  <c r="V117" i="9"/>
  <c r="Y117" i="9" s="1"/>
  <c r="M117" i="9"/>
  <c r="F116" i="9"/>
  <c r="M116" i="9" s="1"/>
  <c r="V115" i="9"/>
  <c r="Y115" i="9" s="1"/>
  <c r="M115" i="9"/>
  <c r="G115" i="9" s="1"/>
  <c r="Y114" i="9"/>
  <c r="O114" i="9"/>
  <c r="M114" i="9"/>
  <c r="F113" i="9"/>
  <c r="V113" i="9" s="1"/>
  <c r="V112" i="9"/>
  <c r="Y112" i="9" s="1"/>
  <c r="M112" i="9"/>
  <c r="V111" i="9"/>
  <c r="M111" i="9"/>
  <c r="V110" i="9"/>
  <c r="Y110" i="9" s="1"/>
  <c r="M110" i="9"/>
  <c r="V109" i="9"/>
  <c r="M109" i="9"/>
  <c r="V108" i="9"/>
  <c r="Y108" i="9" s="1"/>
  <c r="M108" i="9"/>
  <c r="V107" i="9"/>
  <c r="M107" i="9"/>
  <c r="V106" i="9"/>
  <c r="Y106" i="9" s="1"/>
  <c r="M106" i="9"/>
  <c r="V105" i="9"/>
  <c r="M105" i="9"/>
  <c r="V104" i="9"/>
  <c r="Y104" i="9" s="1"/>
  <c r="M104" i="9"/>
  <c r="V103" i="9"/>
  <c r="M103" i="9"/>
  <c r="V102" i="9"/>
  <c r="Y102" i="9" s="1"/>
  <c r="M102" i="9"/>
  <c r="X101" i="9"/>
  <c r="W101" i="9"/>
  <c r="S101" i="9"/>
  <c r="Y100" i="9"/>
  <c r="E100" i="9" s="1"/>
  <c r="Z100" i="9" s="1"/>
  <c r="O100" i="9"/>
  <c r="O67" i="9" s="1"/>
  <c r="Y99" i="9"/>
  <c r="E99" i="9" s="1"/>
  <c r="Z99" i="9" s="1"/>
  <c r="Y98" i="9"/>
  <c r="E98" i="9" s="1"/>
  <c r="Z98" i="9" s="1"/>
  <c r="Y97" i="9"/>
  <c r="E97" i="9" s="1"/>
  <c r="Z97" i="9" s="1"/>
  <c r="Y96" i="9"/>
  <c r="E96" i="9" s="1"/>
  <c r="Z96" i="9" s="1"/>
  <c r="Y95" i="9"/>
  <c r="E95" i="9" s="1"/>
  <c r="Z95" i="9" s="1"/>
  <c r="Y94" i="9"/>
  <c r="E94" i="9" s="1"/>
  <c r="Z94" i="9" s="1"/>
  <c r="Y93" i="9"/>
  <c r="E93" i="9" s="1"/>
  <c r="Z93" i="9" s="1"/>
  <c r="Y92" i="9"/>
  <c r="E92" i="9" s="1"/>
  <c r="Z92" i="9" s="1"/>
  <c r="Y91" i="9"/>
  <c r="E91" i="9" s="1"/>
  <c r="Z91" i="9" s="1"/>
  <c r="Y90" i="9"/>
  <c r="E90" i="9" s="1"/>
  <c r="Z90" i="9" s="1"/>
  <c r="Y89" i="9"/>
  <c r="E89" i="9" s="1"/>
  <c r="Z89" i="9" s="1"/>
  <c r="Y88" i="9"/>
  <c r="E88" i="9" s="1"/>
  <c r="Z88" i="9" s="1"/>
  <c r="Y87" i="9"/>
  <c r="E87" i="9" s="1"/>
  <c r="Z87" i="9" s="1"/>
  <c r="Y86" i="9"/>
  <c r="E86" i="9" s="1"/>
  <c r="Z86" i="9" s="1"/>
  <c r="Y85" i="9"/>
  <c r="E85" i="9" s="1"/>
  <c r="Z85" i="9" s="1"/>
  <c r="Y84" i="9"/>
  <c r="E84" i="9" s="1"/>
  <c r="Z84" i="9" s="1"/>
  <c r="Y83" i="9"/>
  <c r="E83" i="9"/>
  <c r="Z83" i="9" s="1"/>
  <c r="Y82" i="9"/>
  <c r="E82" i="9" s="1"/>
  <c r="Z82" i="9" s="1"/>
  <c r="Y81" i="9"/>
  <c r="E81" i="9" s="1"/>
  <c r="Z81" i="9" s="1"/>
  <c r="Y80" i="9"/>
  <c r="E80" i="9" s="1"/>
  <c r="Z80" i="9" s="1"/>
  <c r="Y79" i="9"/>
  <c r="E79" i="9" s="1"/>
  <c r="Z79" i="9" s="1"/>
  <c r="Y78" i="9"/>
  <c r="E78" i="9" s="1"/>
  <c r="Z78" i="9" s="1"/>
  <c r="Y77" i="9"/>
  <c r="E77" i="9" s="1"/>
  <c r="Z77" i="9" s="1"/>
  <c r="Y76" i="9"/>
  <c r="E76" i="9" s="1"/>
  <c r="Z76" i="9" s="1"/>
  <c r="Y75" i="9"/>
  <c r="E75" i="9" s="1"/>
  <c r="Z75" i="9" s="1"/>
  <c r="Y74" i="9"/>
  <c r="E74" i="9" s="1"/>
  <c r="Z74" i="9" s="1"/>
  <c r="Y73" i="9"/>
  <c r="E73" i="9" s="1"/>
  <c r="Z73" i="9" s="1"/>
  <c r="Y72" i="9"/>
  <c r="E72" i="9" s="1"/>
  <c r="Z72" i="9" s="1"/>
  <c r="Y71" i="9"/>
  <c r="E71" i="9" s="1"/>
  <c r="Z71" i="9" s="1"/>
  <c r="Y70" i="9"/>
  <c r="E70" i="9" s="1"/>
  <c r="Z70" i="9" s="1"/>
  <c r="Y69" i="9"/>
  <c r="E69" i="9" s="1"/>
  <c r="Z69" i="9" s="1"/>
  <c r="Y68" i="9"/>
  <c r="X67" i="9"/>
  <c r="X14" i="9" s="1"/>
  <c r="X13" i="9" s="1"/>
  <c r="W67" i="9"/>
  <c r="V67" i="9"/>
  <c r="U67" i="9"/>
  <c r="T67" i="9"/>
  <c r="S67" i="9"/>
  <c r="R67" i="9"/>
  <c r="Q67" i="9"/>
  <c r="P67" i="9"/>
  <c r="N67" i="9"/>
  <c r="M67" i="9"/>
  <c r="L67" i="9"/>
  <c r="K67" i="9"/>
  <c r="J67" i="9"/>
  <c r="I67" i="9"/>
  <c r="H67" i="9"/>
  <c r="G67" i="9"/>
  <c r="F67" i="9"/>
  <c r="AC67" i="9" s="1"/>
  <c r="Y66" i="9"/>
  <c r="O66" i="9"/>
  <c r="G66" i="9" s="1"/>
  <c r="Y65" i="9"/>
  <c r="O65" i="9"/>
  <c r="G65" i="9" s="1"/>
  <c r="Y64" i="9"/>
  <c r="O64" i="9"/>
  <c r="G64" i="9" s="1"/>
  <c r="Y63" i="9"/>
  <c r="O63" i="9"/>
  <c r="G63" i="9" s="1"/>
  <c r="Y62" i="9"/>
  <c r="O62" i="9"/>
  <c r="G62" i="9" s="1"/>
  <c r="Y61" i="9"/>
  <c r="O61" i="9"/>
  <c r="G61" i="9" s="1"/>
  <c r="Y60" i="9"/>
  <c r="G60" i="9"/>
  <c r="Y59" i="9"/>
  <c r="G59" i="9"/>
  <c r="Y58" i="9"/>
  <c r="M58" i="9"/>
  <c r="G58" i="9" s="1"/>
  <c r="K57" i="9"/>
  <c r="V57" i="9" s="1"/>
  <c r="Y57" i="9" s="1"/>
  <c r="Y56" i="9"/>
  <c r="O56" i="9"/>
  <c r="M56" i="9"/>
  <c r="G56" i="9" s="1"/>
  <c r="Y55" i="9"/>
  <c r="O55" i="9"/>
  <c r="M55" i="9"/>
  <c r="Y54" i="9"/>
  <c r="O54" i="9"/>
  <c r="M54" i="9"/>
  <c r="G54" i="9" s="1"/>
  <c r="Y53" i="9"/>
  <c r="O53" i="9"/>
  <c r="M53" i="9"/>
  <c r="Y52" i="9"/>
  <c r="O52" i="9"/>
  <c r="M52" i="9"/>
  <c r="G52" i="9" s="1"/>
  <c r="V51" i="9"/>
  <c r="M51" i="9"/>
  <c r="K50" i="9"/>
  <c r="K49" i="9"/>
  <c r="K48" i="9"/>
  <c r="M48" i="9" s="1"/>
  <c r="V47" i="9"/>
  <c r="Y47" i="9" s="1"/>
  <c r="M47" i="9"/>
  <c r="V46" i="9"/>
  <c r="Y46" i="9" s="1"/>
  <c r="M46" i="9"/>
  <c r="V45" i="9"/>
  <c r="Y45" i="9" s="1"/>
  <c r="M45" i="9"/>
  <c r="K44" i="9"/>
  <c r="Y43" i="9"/>
  <c r="O43" i="9"/>
  <c r="M43" i="9"/>
  <c r="Y42" i="9"/>
  <c r="O42" i="9"/>
  <c r="M42" i="9"/>
  <c r="Y41" i="9"/>
  <c r="O41" i="9"/>
  <c r="M41" i="9"/>
  <c r="Y40" i="9"/>
  <c r="O40" i="9"/>
  <c r="M40" i="9"/>
  <c r="Y39" i="9"/>
  <c r="O39" i="9"/>
  <c r="M39" i="9"/>
  <c r="Y38" i="9"/>
  <c r="O38" i="9"/>
  <c r="M38" i="9"/>
  <c r="Y37" i="9"/>
  <c r="O37" i="9"/>
  <c r="M37" i="9"/>
  <c r="Y36" i="9"/>
  <c r="O36" i="9"/>
  <c r="M36" i="9"/>
  <c r="Y35" i="9"/>
  <c r="O35" i="9"/>
  <c r="M35" i="9"/>
  <c r="V34" i="9"/>
  <c r="Y34" i="9" s="1"/>
  <c r="M34" i="9"/>
  <c r="V33" i="9"/>
  <c r="Y33" i="9" s="1"/>
  <c r="O33" i="9"/>
  <c r="M33" i="9"/>
  <c r="Y32" i="9"/>
  <c r="O32" i="9"/>
  <c r="M32" i="9"/>
  <c r="Y31" i="9"/>
  <c r="O31" i="9"/>
  <c r="M31" i="9"/>
  <c r="V30" i="9"/>
  <c r="Y30" i="9" s="1"/>
  <c r="M30" i="9"/>
  <c r="V29" i="9"/>
  <c r="Y29" i="9" s="1"/>
  <c r="M29" i="9"/>
  <c r="V28" i="9"/>
  <c r="Y28" i="9" s="1"/>
  <c r="M28" i="9"/>
  <c r="V27" i="9"/>
  <c r="Y27" i="9" s="1"/>
  <c r="M27" i="9"/>
  <c r="V26" i="9"/>
  <c r="Y26" i="9" s="1"/>
  <c r="M26" i="9"/>
  <c r="V25" i="9"/>
  <c r="Y25" i="9" s="1"/>
  <c r="M25" i="9"/>
  <c r="V24" i="9"/>
  <c r="Y24" i="9" s="1"/>
  <c r="M24" i="9"/>
  <c r="V23" i="9"/>
  <c r="Y23" i="9" s="1"/>
  <c r="M23" i="9"/>
  <c r="V22" i="9"/>
  <c r="Y22" i="9" s="1"/>
  <c r="M22" i="9"/>
  <c r="V21" i="9"/>
  <c r="Y21" i="9" s="1"/>
  <c r="M21" i="9"/>
  <c r="V20" i="9"/>
  <c r="Y20" i="9" s="1"/>
  <c r="M20" i="9"/>
  <c r="V19" i="9"/>
  <c r="Y19" i="9" s="1"/>
  <c r="M19" i="9"/>
  <c r="V18" i="9"/>
  <c r="Y18" i="9" s="1"/>
  <c r="M18" i="9"/>
  <c r="V17" i="9"/>
  <c r="Y17" i="9" s="1"/>
  <c r="M17" i="9"/>
  <c r="V16" i="9"/>
  <c r="Y16" i="9" s="1"/>
  <c r="M16" i="9"/>
  <c r="W15" i="9"/>
  <c r="T15" i="9"/>
  <c r="R15" i="9"/>
  <c r="P15" i="9"/>
  <c r="I15" i="9"/>
  <c r="H15" i="9"/>
  <c r="F15" i="9"/>
  <c r="AC15" i="9" s="1"/>
  <c r="D14" i="9"/>
  <c r="C14" i="9"/>
  <c r="C13" i="9" s="1"/>
  <c r="D13" i="9"/>
  <c r="Q9" i="9"/>
  <c r="I9" i="9"/>
  <c r="J9" i="9" s="1"/>
  <c r="D9" i="9"/>
  <c r="O220" i="9" l="1"/>
  <c r="J238" i="9"/>
  <c r="J237" i="9" s="1"/>
  <c r="N238" i="9"/>
  <c r="G159" i="9"/>
  <c r="E159" i="9" s="1"/>
  <c r="Z159" i="9" s="1"/>
  <c r="F220" i="9"/>
  <c r="E254" i="9"/>
  <c r="Z254" i="9" s="1"/>
  <c r="R279" i="9"/>
  <c r="N282" i="9"/>
  <c r="N237" i="9" s="1"/>
  <c r="E251" i="9"/>
  <c r="Z251" i="9" s="1"/>
  <c r="E257" i="9"/>
  <c r="Z257" i="9" s="1"/>
  <c r="E265" i="9"/>
  <c r="Z265" i="9" s="1"/>
  <c r="G287" i="9"/>
  <c r="E287" i="9" s="1"/>
  <c r="Z287" i="9" s="1"/>
  <c r="G34" i="9"/>
  <c r="G120" i="9"/>
  <c r="G122" i="9"/>
  <c r="E260" i="9"/>
  <c r="Z260" i="9" s="1"/>
  <c r="T14" i="9"/>
  <c r="T13" i="9" s="1"/>
  <c r="S14" i="9"/>
  <c r="S13" i="9" s="1"/>
  <c r="G163" i="9"/>
  <c r="G291" i="9"/>
  <c r="E291" i="9" s="1"/>
  <c r="Z291" i="9" s="1"/>
  <c r="G295" i="9"/>
  <c r="E295" i="9" s="1"/>
  <c r="Z295" i="9" s="1"/>
  <c r="L14" i="9"/>
  <c r="L13" i="9" s="1"/>
  <c r="G288" i="9"/>
  <c r="G290" i="9"/>
  <c r="E290" i="9" s="1"/>
  <c r="Z290" i="9" s="1"/>
  <c r="D237" i="9"/>
  <c r="K283" i="9"/>
  <c r="E288" i="9"/>
  <c r="Z288" i="9" s="1"/>
  <c r="G307" i="9"/>
  <c r="E307" i="9" s="1"/>
  <c r="Z307" i="9" s="1"/>
  <c r="I282" i="9"/>
  <c r="U282" i="9"/>
  <c r="U237" i="9" s="1"/>
  <c r="W220" i="9"/>
  <c r="K238" i="9"/>
  <c r="O239" i="9"/>
  <c r="M57" i="9"/>
  <c r="G57" i="9" s="1"/>
  <c r="E207" i="9"/>
  <c r="Z207" i="9" s="1"/>
  <c r="H238" i="9"/>
  <c r="L238" i="9"/>
  <c r="Q238" i="9"/>
  <c r="Q237" i="9" s="1"/>
  <c r="V238" i="9"/>
  <c r="O270" i="9"/>
  <c r="Y278" i="9"/>
  <c r="H282" i="9"/>
  <c r="L282" i="9"/>
  <c r="G286" i="9"/>
  <c r="E286" i="9" s="1"/>
  <c r="Z286" i="9" s="1"/>
  <c r="G292" i="9"/>
  <c r="G293" i="9"/>
  <c r="G302" i="9"/>
  <c r="E302" i="9" s="1"/>
  <c r="Z302" i="9" s="1"/>
  <c r="G314" i="9"/>
  <c r="E314" i="9" s="1"/>
  <c r="Z314" i="9" s="1"/>
  <c r="G318" i="9"/>
  <c r="E318" i="9" s="1"/>
  <c r="Z318" i="9" s="1"/>
  <c r="G117" i="9"/>
  <c r="J14" i="9"/>
  <c r="J13" i="9" s="1"/>
  <c r="J11" i="9" s="1"/>
  <c r="J10" i="9" s="1"/>
  <c r="I238" i="9"/>
  <c r="E241" i="9"/>
  <c r="Z241" i="9" s="1"/>
  <c r="E244" i="9"/>
  <c r="Z244" i="9" s="1"/>
  <c r="E246" i="9"/>
  <c r="Z246" i="9" s="1"/>
  <c r="E255" i="9"/>
  <c r="Z255" i="9" s="1"/>
  <c r="Y267" i="9"/>
  <c r="R270" i="9"/>
  <c r="Y272" i="9"/>
  <c r="G299" i="9"/>
  <c r="E299" i="9" s="1"/>
  <c r="Z299" i="9" s="1"/>
  <c r="G304" i="9"/>
  <c r="E304" i="9" s="1"/>
  <c r="Z304" i="9" s="1"/>
  <c r="V237" i="9"/>
  <c r="AC145" i="9"/>
  <c r="F101" i="9"/>
  <c r="AC101" i="9" s="1"/>
  <c r="V48" i="9"/>
  <c r="Y48" i="9" s="1"/>
  <c r="M113" i="9"/>
  <c r="G113" i="9" s="1"/>
  <c r="V116" i="9"/>
  <c r="Y116" i="9" s="1"/>
  <c r="Q14" i="9"/>
  <c r="Q13" i="9" s="1"/>
  <c r="Q11" i="9" s="1"/>
  <c r="Q10" i="9" s="1"/>
  <c r="U14" i="9"/>
  <c r="U13" i="9" s="1"/>
  <c r="M153" i="9"/>
  <c r="M145" i="9" s="1"/>
  <c r="W162" i="9"/>
  <c r="W14" i="9" s="1"/>
  <c r="W13" i="9" s="1"/>
  <c r="G205" i="9"/>
  <c r="G243" i="9"/>
  <c r="E243" i="9" s="1"/>
  <c r="Z243" i="9" s="1"/>
  <c r="O274" i="9"/>
  <c r="G274" i="9" s="1"/>
  <c r="F282" i="9"/>
  <c r="O284" i="9"/>
  <c r="O283" i="9" s="1"/>
  <c r="E292" i="9"/>
  <c r="Z292" i="9" s="1"/>
  <c r="E293" i="9"/>
  <c r="Z293" i="9" s="1"/>
  <c r="Y308" i="9"/>
  <c r="AB322" i="9"/>
  <c r="O189" i="9"/>
  <c r="O162" i="9" s="1"/>
  <c r="F162" i="9"/>
  <c r="AC162" i="9" s="1"/>
  <c r="AB164" i="9"/>
  <c r="AC164" i="9" s="1"/>
  <c r="C11" i="9"/>
  <c r="C10" i="9" s="1"/>
  <c r="G104" i="9"/>
  <c r="E104" i="9" s="1"/>
  <c r="Z104" i="9" s="1"/>
  <c r="G106" i="9"/>
  <c r="G121" i="9"/>
  <c r="E121" i="9" s="1"/>
  <c r="Z121" i="9" s="1"/>
  <c r="G132" i="9"/>
  <c r="E132" i="9" s="1"/>
  <c r="Z132" i="9" s="1"/>
  <c r="R14" i="9"/>
  <c r="R13" i="9" s="1"/>
  <c r="M189" i="9"/>
  <c r="E223" i="9"/>
  <c r="Z223" i="9" s="1"/>
  <c r="T238" i="9"/>
  <c r="X238" i="9"/>
  <c r="G250" i="9"/>
  <c r="E250" i="9" s="1"/>
  <c r="Z250" i="9" s="1"/>
  <c r="E263" i="9"/>
  <c r="Z263" i="9" s="1"/>
  <c r="Y274" i="9"/>
  <c r="O278" i="9"/>
  <c r="X282" i="9"/>
  <c r="G285" i="9"/>
  <c r="E285" i="9" s="1"/>
  <c r="Z285" i="9" s="1"/>
  <c r="G294" i="9"/>
  <c r="E294" i="9" s="1"/>
  <c r="Z294" i="9" s="1"/>
  <c r="G296" i="9"/>
  <c r="E296" i="9" s="1"/>
  <c r="Z296" i="9" s="1"/>
  <c r="G297" i="9"/>
  <c r="E297" i="9" s="1"/>
  <c r="Z297" i="9" s="1"/>
  <c r="G306" i="9"/>
  <c r="E306" i="9" s="1"/>
  <c r="Z306" i="9" s="1"/>
  <c r="AE308" i="9"/>
  <c r="G309" i="9"/>
  <c r="E309" i="9" s="1"/>
  <c r="G312" i="9"/>
  <c r="E312" i="9" s="1"/>
  <c r="Z312" i="9" s="1"/>
  <c r="G317" i="9"/>
  <c r="E317" i="9" s="1"/>
  <c r="AB317" i="9" s="1"/>
  <c r="P14" i="9"/>
  <c r="P13" i="9" s="1"/>
  <c r="D11" i="9"/>
  <c r="D10" i="9" s="1"/>
  <c r="I14" i="9"/>
  <c r="I13" i="9" s="1"/>
  <c r="G31" i="9"/>
  <c r="G114" i="9"/>
  <c r="E114" i="9" s="1"/>
  <c r="Z114" i="9" s="1"/>
  <c r="G123" i="9"/>
  <c r="G142" i="9"/>
  <c r="N14" i="9"/>
  <c r="N13" i="9" s="1"/>
  <c r="V189" i="9"/>
  <c r="Y189" i="9" s="1"/>
  <c r="E248" i="9"/>
  <c r="Z248" i="9" s="1"/>
  <c r="G279" i="9"/>
  <c r="E279" i="9" s="1"/>
  <c r="Z279" i="9" s="1"/>
  <c r="G300" i="9"/>
  <c r="E300" i="9" s="1"/>
  <c r="Z300" i="9" s="1"/>
  <c r="G301" i="9"/>
  <c r="E301" i="9" s="1"/>
  <c r="Z301" i="9" s="1"/>
  <c r="G40" i="9"/>
  <c r="G188" i="9"/>
  <c r="E188" i="9" s="1"/>
  <c r="Z188" i="9" s="1"/>
  <c r="G204" i="9"/>
  <c r="E204" i="9" s="1"/>
  <c r="Z204" i="9" s="1"/>
  <c r="G25" i="9"/>
  <c r="E25" i="9" s="1"/>
  <c r="Z25" i="9" s="1"/>
  <c r="G42" i="9"/>
  <c r="E42" i="9" s="1"/>
  <c r="Z42" i="9" s="1"/>
  <c r="G131" i="9"/>
  <c r="E131" i="9" s="1"/>
  <c r="Z131" i="9" s="1"/>
  <c r="E142" i="9"/>
  <c r="Z142" i="9" s="1"/>
  <c r="E59" i="9"/>
  <c r="Z59" i="9" s="1"/>
  <c r="G108" i="9"/>
  <c r="E108" i="9" s="1"/>
  <c r="Z108" i="9" s="1"/>
  <c r="E122" i="9"/>
  <c r="Z122" i="9" s="1"/>
  <c r="G125" i="9"/>
  <c r="E125" i="9" s="1"/>
  <c r="Z125" i="9" s="1"/>
  <c r="G140" i="9"/>
  <c r="E143" i="9"/>
  <c r="Z143" i="9" s="1"/>
  <c r="G178" i="9"/>
  <c r="E178" i="9" s="1"/>
  <c r="Z178" i="9" s="1"/>
  <c r="G180" i="9"/>
  <c r="E180" i="9" s="1"/>
  <c r="Z180" i="9" s="1"/>
  <c r="E146" i="9"/>
  <c r="Z146" i="9" s="1"/>
  <c r="G51" i="9"/>
  <c r="E54" i="9"/>
  <c r="Z54" i="9" s="1"/>
  <c r="E64" i="9"/>
  <c r="Z64" i="9" s="1"/>
  <c r="Y153" i="9"/>
  <c r="G172" i="9"/>
  <c r="G17" i="9"/>
  <c r="G21" i="9"/>
  <c r="E21" i="9" s="1"/>
  <c r="Z21" i="9" s="1"/>
  <c r="G23" i="9"/>
  <c r="E23" i="9" s="1"/>
  <c r="Z23" i="9" s="1"/>
  <c r="G26" i="9"/>
  <c r="E26" i="9" s="1"/>
  <c r="Z26" i="9" s="1"/>
  <c r="G36" i="9"/>
  <c r="E36" i="9" s="1"/>
  <c r="Z36" i="9" s="1"/>
  <c r="G46" i="9"/>
  <c r="E46" i="9" s="1"/>
  <c r="Z46" i="9" s="1"/>
  <c r="E66" i="9"/>
  <c r="Z66" i="9" s="1"/>
  <c r="G150" i="9"/>
  <c r="E150" i="9" s="1"/>
  <c r="Z150" i="9" s="1"/>
  <c r="G155" i="9"/>
  <c r="E155" i="9" s="1"/>
  <c r="Z155" i="9" s="1"/>
  <c r="G165" i="9"/>
  <c r="E165" i="9" s="1"/>
  <c r="Z165" i="9" s="1"/>
  <c r="G171" i="9"/>
  <c r="E171" i="9" s="1"/>
  <c r="Z171" i="9" s="1"/>
  <c r="G175" i="9"/>
  <c r="E175" i="9" s="1"/>
  <c r="Z175" i="9" s="1"/>
  <c r="G37" i="9"/>
  <c r="E37" i="9" s="1"/>
  <c r="Z37" i="9" s="1"/>
  <c r="G179" i="9"/>
  <c r="G139" i="9"/>
  <c r="E139" i="9" s="1"/>
  <c r="Z139" i="9" s="1"/>
  <c r="G202" i="9"/>
  <c r="E202" i="9" s="1"/>
  <c r="Z202" i="9" s="1"/>
  <c r="G203" i="9"/>
  <c r="E203" i="9" s="1"/>
  <c r="Z203" i="9" s="1"/>
  <c r="G18" i="9"/>
  <c r="E18" i="9" s="1"/>
  <c r="Z18" i="9" s="1"/>
  <c r="G29" i="9"/>
  <c r="E29" i="9" s="1"/>
  <c r="Z29" i="9" s="1"/>
  <c r="E31" i="9"/>
  <c r="Z31" i="9" s="1"/>
  <c r="E60" i="9"/>
  <c r="Z60" i="9" s="1"/>
  <c r="E115" i="9"/>
  <c r="Z115" i="9" s="1"/>
  <c r="G130" i="9"/>
  <c r="E130" i="9" s="1"/>
  <c r="Z130" i="9" s="1"/>
  <c r="G133" i="9"/>
  <c r="E133" i="9" s="1"/>
  <c r="Z133" i="9" s="1"/>
  <c r="G137" i="9"/>
  <c r="E137" i="9" s="1"/>
  <c r="Z137" i="9" s="1"/>
  <c r="E152" i="9"/>
  <c r="Z152" i="9" s="1"/>
  <c r="G186" i="9"/>
  <c r="E186" i="9" s="1"/>
  <c r="Z186" i="9" s="1"/>
  <c r="G201" i="9"/>
  <c r="E201" i="9" s="1"/>
  <c r="Z201" i="9" s="1"/>
  <c r="G148" i="9"/>
  <c r="E61" i="9"/>
  <c r="Z61" i="9" s="1"/>
  <c r="G129" i="9"/>
  <c r="E129" i="9" s="1"/>
  <c r="Z129" i="9" s="1"/>
  <c r="G141" i="9"/>
  <c r="E141" i="9" s="1"/>
  <c r="Z141" i="9" s="1"/>
  <c r="G158" i="9"/>
  <c r="E158" i="9" s="1"/>
  <c r="Z158" i="9" s="1"/>
  <c r="E161" i="9"/>
  <c r="Z161" i="9" s="1"/>
  <c r="G182" i="9"/>
  <c r="E182" i="9" s="1"/>
  <c r="Z182" i="9" s="1"/>
  <c r="G107" i="9"/>
  <c r="G19" i="9"/>
  <c r="E19" i="9" s="1"/>
  <c r="Z19" i="9" s="1"/>
  <c r="G22" i="9"/>
  <c r="E22" i="9" s="1"/>
  <c r="Z22" i="9" s="1"/>
  <c r="G27" i="9"/>
  <c r="E27" i="9" s="1"/>
  <c r="Z27" i="9" s="1"/>
  <c r="G30" i="9"/>
  <c r="E30" i="9" s="1"/>
  <c r="Z30" i="9" s="1"/>
  <c r="G45" i="9"/>
  <c r="E45" i="9" s="1"/>
  <c r="Z45" i="9" s="1"/>
  <c r="E56" i="9"/>
  <c r="Z56" i="9" s="1"/>
  <c r="E57" i="9"/>
  <c r="Z57" i="9" s="1"/>
  <c r="E63" i="9"/>
  <c r="Z63" i="9" s="1"/>
  <c r="G112" i="9"/>
  <c r="E112" i="9" s="1"/>
  <c r="Z112" i="9" s="1"/>
  <c r="E120" i="9"/>
  <c r="Z120" i="9" s="1"/>
  <c r="E123" i="9"/>
  <c r="Z123" i="9" s="1"/>
  <c r="G127" i="9"/>
  <c r="E127" i="9" s="1"/>
  <c r="Z127" i="9" s="1"/>
  <c r="G135" i="9"/>
  <c r="E135" i="9" s="1"/>
  <c r="Z135" i="9" s="1"/>
  <c r="G169" i="9"/>
  <c r="E169" i="9" s="1"/>
  <c r="Z169" i="9" s="1"/>
  <c r="G191" i="9"/>
  <c r="E191" i="9" s="1"/>
  <c r="Z191" i="9" s="1"/>
  <c r="G206" i="9"/>
  <c r="E206" i="9" s="1"/>
  <c r="Z206" i="9" s="1"/>
  <c r="E40" i="9"/>
  <c r="Z40" i="9" s="1"/>
  <c r="E65" i="9"/>
  <c r="Z65" i="9" s="1"/>
  <c r="G109" i="9"/>
  <c r="G166" i="9"/>
  <c r="G181" i="9"/>
  <c r="O15" i="9"/>
  <c r="Y172" i="9"/>
  <c r="G194" i="9"/>
  <c r="E194" i="9" s="1"/>
  <c r="Z194" i="9" s="1"/>
  <c r="G38" i="9"/>
  <c r="E38" i="9" s="1"/>
  <c r="Z38" i="9" s="1"/>
  <c r="G41" i="9"/>
  <c r="E41" i="9" s="1"/>
  <c r="Z41" i="9" s="1"/>
  <c r="G53" i="9"/>
  <c r="E53" i="9" s="1"/>
  <c r="Z53" i="9" s="1"/>
  <c r="E58" i="9"/>
  <c r="Z58" i="9" s="1"/>
  <c r="G102" i="9"/>
  <c r="E102" i="9" s="1"/>
  <c r="G103" i="9"/>
  <c r="G110" i="9"/>
  <c r="E110" i="9" s="1"/>
  <c r="Z110" i="9" s="1"/>
  <c r="G111" i="9"/>
  <c r="G118" i="9"/>
  <c r="E140" i="9"/>
  <c r="Z140" i="9" s="1"/>
  <c r="G167" i="9"/>
  <c r="E167" i="9" s="1"/>
  <c r="Z167" i="9" s="1"/>
  <c r="G168" i="9"/>
  <c r="G173" i="9"/>
  <c r="G174" i="9"/>
  <c r="G184" i="9"/>
  <c r="E184" i="9" s="1"/>
  <c r="Z184" i="9" s="1"/>
  <c r="G195" i="9"/>
  <c r="E195" i="9" s="1"/>
  <c r="Z195" i="9" s="1"/>
  <c r="G197" i="9"/>
  <c r="E17" i="9"/>
  <c r="Z17" i="9" s="1"/>
  <c r="G43" i="9"/>
  <c r="E43" i="9" s="1"/>
  <c r="Z43" i="9" s="1"/>
  <c r="E52" i="9"/>
  <c r="Z52" i="9" s="1"/>
  <c r="G55" i="9"/>
  <c r="E55" i="9" s="1"/>
  <c r="Z55" i="9" s="1"/>
  <c r="G183" i="9"/>
  <c r="E205" i="9"/>
  <c r="Z205" i="9" s="1"/>
  <c r="G20" i="9"/>
  <c r="E20" i="9" s="1"/>
  <c r="Z20" i="9" s="1"/>
  <c r="G24" i="9"/>
  <c r="E24" i="9" s="1"/>
  <c r="Z24" i="9" s="1"/>
  <c r="G28" i="9"/>
  <c r="E28" i="9" s="1"/>
  <c r="Z28" i="9" s="1"/>
  <c r="G32" i="9"/>
  <c r="E32" i="9" s="1"/>
  <c r="Z32" i="9" s="1"/>
  <c r="G39" i="9"/>
  <c r="E39" i="9" s="1"/>
  <c r="Z39" i="9" s="1"/>
  <c r="G47" i="9"/>
  <c r="E47" i="9" s="1"/>
  <c r="Z47" i="9" s="1"/>
  <c r="E62" i="9"/>
  <c r="Z62" i="9" s="1"/>
  <c r="G105" i="9"/>
  <c r="G124" i="9"/>
  <c r="E124" i="9" s="1"/>
  <c r="Z124" i="9" s="1"/>
  <c r="G128" i="9"/>
  <c r="E128" i="9" s="1"/>
  <c r="Z128" i="9" s="1"/>
  <c r="G134" i="9"/>
  <c r="E134" i="9" s="1"/>
  <c r="Z134" i="9" s="1"/>
  <c r="G138" i="9"/>
  <c r="E138" i="9" s="1"/>
  <c r="Z138" i="9" s="1"/>
  <c r="E144" i="9"/>
  <c r="Z144" i="9" s="1"/>
  <c r="G151" i="9"/>
  <c r="E151" i="9" s="1"/>
  <c r="Z151" i="9" s="1"/>
  <c r="E157" i="9"/>
  <c r="Z157" i="9" s="1"/>
  <c r="G160" i="9"/>
  <c r="E160" i="9" s="1"/>
  <c r="Z160" i="9" s="1"/>
  <c r="G164" i="9"/>
  <c r="E164" i="9" s="1"/>
  <c r="Z164" i="9" s="1"/>
  <c r="G170" i="9"/>
  <c r="G177" i="9"/>
  <c r="E177" i="9" s="1"/>
  <c r="Z177" i="9" s="1"/>
  <c r="G185" i="9"/>
  <c r="E185" i="9" s="1"/>
  <c r="Z185" i="9" s="1"/>
  <c r="Y239" i="9"/>
  <c r="F151" i="7"/>
  <c r="G193" i="9"/>
  <c r="E193" i="9" s="1"/>
  <c r="Z193" i="9" s="1"/>
  <c r="R271" i="9"/>
  <c r="F266" i="9"/>
  <c r="O271" i="9"/>
  <c r="Y271" i="9"/>
  <c r="G16" i="9"/>
  <c r="G33" i="9"/>
  <c r="E33" i="9" s="1"/>
  <c r="Z33" i="9" s="1"/>
  <c r="V50" i="9"/>
  <c r="Y50" i="9" s="1"/>
  <c r="Y103" i="9"/>
  <c r="Y105" i="9"/>
  <c r="Y107" i="9"/>
  <c r="Y109" i="9"/>
  <c r="E109" i="9" s="1"/>
  <c r="Z109" i="9" s="1"/>
  <c r="Y111" i="9"/>
  <c r="Y118" i="9"/>
  <c r="V145" i="9"/>
  <c r="V101" i="9" s="1"/>
  <c r="Y147" i="9"/>
  <c r="G147" i="9"/>
  <c r="Y148" i="9"/>
  <c r="Y170" i="9"/>
  <c r="Y176" i="9"/>
  <c r="G176" i="9"/>
  <c r="E222" i="9"/>
  <c r="Y220" i="9"/>
  <c r="Z317" i="9"/>
  <c r="E34" i="9"/>
  <c r="Z34" i="9" s="1"/>
  <c r="V49" i="9"/>
  <c r="Y49" i="9" s="1"/>
  <c r="M49" i="9"/>
  <c r="M50" i="9"/>
  <c r="E106" i="9"/>
  <c r="Z106" i="9" s="1"/>
  <c r="E117" i="9"/>
  <c r="Z117" i="9" s="1"/>
  <c r="O119" i="9"/>
  <c r="M119" i="9"/>
  <c r="G154" i="9"/>
  <c r="Y154" i="9"/>
  <c r="G156" i="9"/>
  <c r="E156" i="9" s="1"/>
  <c r="Z156" i="9" s="1"/>
  <c r="O145" i="9"/>
  <c r="Y168" i="9"/>
  <c r="H162" i="9"/>
  <c r="H14" i="9" s="1"/>
  <c r="H13" i="9" s="1"/>
  <c r="Y200" i="9"/>
  <c r="G200" i="9"/>
  <c r="F14" i="9"/>
  <c r="F13" i="9" s="1"/>
  <c r="G35" i="9"/>
  <c r="E35" i="9" s="1"/>
  <c r="Z35" i="9" s="1"/>
  <c r="V44" i="9"/>
  <c r="Y44" i="9" s="1"/>
  <c r="M44" i="9"/>
  <c r="K15" i="9"/>
  <c r="K14" i="9" s="1"/>
  <c r="K13" i="9" s="1"/>
  <c r="Y51" i="9"/>
  <c r="E68" i="9"/>
  <c r="Y67" i="9"/>
  <c r="Y113" i="9"/>
  <c r="G116" i="9"/>
  <c r="E116" i="9" s="1"/>
  <c r="Z116" i="9" s="1"/>
  <c r="G126" i="9"/>
  <c r="E126" i="9" s="1"/>
  <c r="Z126" i="9" s="1"/>
  <c r="G136" i="9"/>
  <c r="E136" i="9" s="1"/>
  <c r="Z136" i="9" s="1"/>
  <c r="Y166" i="9"/>
  <c r="Y174" i="9"/>
  <c r="V190" i="9"/>
  <c r="G190" i="9" s="1"/>
  <c r="Y197" i="9"/>
  <c r="Y149" i="9"/>
  <c r="E149" i="9" s="1"/>
  <c r="Z149" i="9" s="1"/>
  <c r="E163" i="9"/>
  <c r="E173" i="9"/>
  <c r="Z173" i="9" s="1"/>
  <c r="G187" i="9"/>
  <c r="E187" i="9" s="1"/>
  <c r="Z187" i="9" s="1"/>
  <c r="G192" i="9"/>
  <c r="E192" i="9" s="1"/>
  <c r="Z192" i="9" s="1"/>
  <c r="G196" i="9"/>
  <c r="E196" i="9" s="1"/>
  <c r="Z196" i="9" s="1"/>
  <c r="M198" i="9"/>
  <c r="V198" i="9"/>
  <c r="Y198" i="9" s="1"/>
  <c r="G262" i="9"/>
  <c r="E262" i="9" s="1"/>
  <c r="Z262" i="9" s="1"/>
  <c r="R258" i="9"/>
  <c r="R280" i="9"/>
  <c r="F275" i="9"/>
  <c r="AC275" i="9" s="1"/>
  <c r="O280" i="9"/>
  <c r="Y179" i="9"/>
  <c r="Y181" i="9"/>
  <c r="Y183" i="9"/>
  <c r="G199" i="9"/>
  <c r="E199" i="9" s="1"/>
  <c r="Z199" i="9" s="1"/>
  <c r="G267" i="9"/>
  <c r="E267" i="9" s="1"/>
  <c r="G278" i="9"/>
  <c r="E278" i="9" s="1"/>
  <c r="Z278" i="9" s="1"/>
  <c r="Y280" i="9"/>
  <c r="K282" i="9"/>
  <c r="R283" i="9"/>
  <c r="G220" i="9"/>
  <c r="G240" i="9"/>
  <c r="R239" i="9"/>
  <c r="G242" i="9"/>
  <c r="E242" i="9" s="1"/>
  <c r="Z242" i="9" s="1"/>
  <c r="E253" i="9"/>
  <c r="Z253" i="9" s="1"/>
  <c r="G311" i="9"/>
  <c r="E311" i="9" s="1"/>
  <c r="Z311" i="9" s="1"/>
  <c r="O308" i="9"/>
  <c r="P266" i="9"/>
  <c r="P238" i="9" s="1"/>
  <c r="P237" i="9" s="1"/>
  <c r="G269" i="9"/>
  <c r="E269" i="9" s="1"/>
  <c r="Z269" i="9" s="1"/>
  <c r="P275" i="9"/>
  <c r="G277" i="9"/>
  <c r="S282" i="9"/>
  <c r="S237" i="9" s="1"/>
  <c r="S11" i="9" s="1"/>
  <c r="S10" i="9" s="1"/>
  <c r="W282" i="9"/>
  <c r="W237" i="9" s="1"/>
  <c r="T308" i="9"/>
  <c r="G315" i="9"/>
  <c r="E315" i="9" s="1"/>
  <c r="G320" i="9"/>
  <c r="M319" i="9"/>
  <c r="M282" i="9" s="1"/>
  <c r="M237" i="9" s="1"/>
  <c r="E256" i="9"/>
  <c r="Z256" i="9" s="1"/>
  <c r="G258" i="9"/>
  <c r="E259" i="9"/>
  <c r="Y258" i="9"/>
  <c r="G289" i="9"/>
  <c r="E289" i="9" s="1"/>
  <c r="Z289" i="9" s="1"/>
  <c r="G298" i="9"/>
  <c r="E298" i="9" s="1"/>
  <c r="Z298" i="9" s="1"/>
  <c r="G305" i="9"/>
  <c r="E305" i="9" s="1"/>
  <c r="Z305" i="9" s="1"/>
  <c r="R308" i="9"/>
  <c r="G313" i="9"/>
  <c r="E313" i="9" s="1"/>
  <c r="Z313" i="9" s="1"/>
  <c r="AB314" i="9"/>
  <c r="G316" i="9"/>
  <c r="E316" i="9" s="1"/>
  <c r="AB324" i="9"/>
  <c r="Z323" i="9"/>
  <c r="R268" i="9"/>
  <c r="G268" i="9" s="1"/>
  <c r="E268" i="9" s="1"/>
  <c r="Z268" i="9" s="1"/>
  <c r="Y273" i="9"/>
  <c r="E273" i="9" s="1"/>
  <c r="Z273" i="9" s="1"/>
  <c r="R276" i="9"/>
  <c r="Y277" i="9"/>
  <c r="R281" i="9"/>
  <c r="G281" i="9" s="1"/>
  <c r="T284" i="9"/>
  <c r="T283" i="9" s="1"/>
  <c r="R272" i="9"/>
  <c r="G272" i="9" s="1"/>
  <c r="Y281" i="9"/>
  <c r="Y284" i="9"/>
  <c r="Y283" i="9" s="1"/>
  <c r="N11" i="9" l="1"/>
  <c r="N10" i="9" s="1"/>
  <c r="G153" i="9"/>
  <c r="E197" i="9"/>
  <c r="Z197" i="9" s="1"/>
  <c r="I237" i="9"/>
  <c r="I11" i="9" s="1"/>
  <c r="I10" i="9" s="1"/>
  <c r="G270" i="9"/>
  <c r="E270" i="9" s="1"/>
  <c r="Z270" i="9" s="1"/>
  <c r="H237" i="9"/>
  <c r="H11" i="9" s="1"/>
  <c r="H10" i="9" s="1"/>
  <c r="Y266" i="9"/>
  <c r="U11" i="9"/>
  <c r="U10" i="9" s="1"/>
  <c r="E272" i="9"/>
  <c r="Z272" i="9" s="1"/>
  <c r="K237" i="9"/>
  <c r="K11" i="9" s="1"/>
  <c r="K10" i="9" s="1"/>
  <c r="E118" i="9"/>
  <c r="Z118" i="9" s="1"/>
  <c r="E274" i="9"/>
  <c r="Z274" i="9" s="1"/>
  <c r="L237" i="9"/>
  <c r="L11" i="9" s="1"/>
  <c r="L10" i="9" s="1"/>
  <c r="W11" i="9"/>
  <c r="W10" i="9" s="1"/>
  <c r="P11" i="9"/>
  <c r="P10" i="9" s="1"/>
  <c r="M101" i="9"/>
  <c r="R266" i="9"/>
  <c r="Y282" i="9"/>
  <c r="G284" i="9"/>
  <c r="E277" i="9"/>
  <c r="Z277" i="9" s="1"/>
  <c r="G189" i="9"/>
  <c r="E189" i="9" s="1"/>
  <c r="Z189" i="9" s="1"/>
  <c r="O101" i="9"/>
  <c r="Y275" i="9"/>
  <c r="E281" i="9"/>
  <c r="Z281" i="9" s="1"/>
  <c r="G48" i="9"/>
  <c r="E48" i="9" s="1"/>
  <c r="Z48" i="9" s="1"/>
  <c r="X237" i="9"/>
  <c r="X11" i="9" s="1"/>
  <c r="X10" i="9" s="1"/>
  <c r="E113" i="9"/>
  <c r="Z113" i="9" s="1"/>
  <c r="E148" i="9"/>
  <c r="Z148" i="9" s="1"/>
  <c r="E174" i="9"/>
  <c r="Z174" i="9" s="1"/>
  <c r="E105" i="9"/>
  <c r="Z105" i="9" s="1"/>
  <c r="E51" i="9"/>
  <c r="Z51" i="9" s="1"/>
  <c r="E111" i="9"/>
  <c r="Z111" i="9" s="1"/>
  <c r="E183" i="9"/>
  <c r="Z183" i="9" s="1"/>
  <c r="E172" i="9"/>
  <c r="Z172" i="9" s="1"/>
  <c r="G145" i="9"/>
  <c r="E153" i="9"/>
  <c r="Z153" i="9" s="1"/>
  <c r="E168" i="9"/>
  <c r="Z168" i="9" s="1"/>
  <c r="E181" i="9"/>
  <c r="Z181" i="9" s="1"/>
  <c r="E179" i="9"/>
  <c r="Z179" i="9" s="1"/>
  <c r="E166" i="9"/>
  <c r="Z166" i="9" s="1"/>
  <c r="O14" i="9"/>
  <c r="O13" i="9" s="1"/>
  <c r="G50" i="9"/>
  <c r="E50" i="9" s="1"/>
  <c r="Z50" i="9" s="1"/>
  <c r="E107" i="9"/>
  <c r="Z107" i="9" s="1"/>
  <c r="E170" i="9"/>
  <c r="Z170" i="9" s="1"/>
  <c r="G44" i="9"/>
  <c r="E44" i="9" s="1"/>
  <c r="Z44" i="9" s="1"/>
  <c r="Y190" i="9"/>
  <c r="E190" i="9" s="1"/>
  <c r="Z190" i="9" s="1"/>
  <c r="G49" i="9"/>
  <c r="E49" i="9" s="1"/>
  <c r="Z49" i="9" s="1"/>
  <c r="G198" i="9"/>
  <c r="E198" i="9" s="1"/>
  <c r="Z198" i="9" s="1"/>
  <c r="V162" i="9"/>
  <c r="Y15" i="9"/>
  <c r="R275" i="9"/>
  <c r="G276" i="9"/>
  <c r="Z309" i="9"/>
  <c r="E308" i="9"/>
  <c r="AB308" i="9" s="1"/>
  <c r="E240" i="9"/>
  <c r="G239" i="9"/>
  <c r="E154" i="9"/>
  <c r="Z154" i="9" s="1"/>
  <c r="Y145" i="9"/>
  <c r="Y101" i="9" s="1"/>
  <c r="M15" i="9"/>
  <c r="G271" i="9"/>
  <c r="E271" i="9" s="1"/>
  <c r="Z271" i="9" s="1"/>
  <c r="O266" i="9"/>
  <c r="Z316" i="9"/>
  <c r="AB316" i="9"/>
  <c r="Y238" i="9"/>
  <c r="O282" i="9"/>
  <c r="G119" i="9"/>
  <c r="E119" i="9" s="1"/>
  <c r="Z119" i="9" s="1"/>
  <c r="E16" i="9"/>
  <c r="AC266" i="9"/>
  <c r="F238" i="9"/>
  <c r="F237" i="9" s="1"/>
  <c r="F11" i="9" s="1"/>
  <c r="F10" i="9" s="1"/>
  <c r="T282" i="9"/>
  <c r="T237" i="9" s="1"/>
  <c r="T11" i="9" s="1"/>
  <c r="T10" i="9" s="1"/>
  <c r="Z267" i="9"/>
  <c r="Z259" i="9"/>
  <c r="Z258" i="9" s="1"/>
  <c r="E258" i="9"/>
  <c r="AB258" i="9" s="1"/>
  <c r="E320" i="9"/>
  <c r="G319" i="9"/>
  <c r="G308" i="9"/>
  <c r="R282" i="9"/>
  <c r="M162" i="9"/>
  <c r="E200" i="9"/>
  <c r="Z200" i="9" s="1"/>
  <c r="Z102" i="9"/>
  <c r="E176" i="9"/>
  <c r="Z176" i="9" s="1"/>
  <c r="V15" i="9"/>
  <c r="E103" i="9"/>
  <c r="Z103" i="9" s="1"/>
  <c r="E284" i="9"/>
  <c r="G283" i="9"/>
  <c r="AB315" i="9"/>
  <c r="Z315" i="9"/>
  <c r="G280" i="9"/>
  <c r="E280" i="9" s="1"/>
  <c r="Z280" i="9" s="1"/>
  <c r="O275" i="9"/>
  <c r="Z163" i="9"/>
  <c r="E67" i="9"/>
  <c r="AB67" i="9" s="1"/>
  <c r="Z68" i="9"/>
  <c r="Z67" i="9" s="1"/>
  <c r="Z222" i="9"/>
  <c r="Z220" i="9" s="1"/>
  <c r="E147" i="9"/>
  <c r="C10" i="1"/>
  <c r="R238" i="9" l="1"/>
  <c r="Y237" i="9"/>
  <c r="E266" i="9"/>
  <c r="AB266" i="9" s="1"/>
  <c r="G266" i="9"/>
  <c r="Z266" i="9"/>
  <c r="Y162" i="9"/>
  <c r="Y14" i="9" s="1"/>
  <c r="Y13" i="9" s="1"/>
  <c r="Y11" i="9" s="1"/>
  <c r="Y10" i="9" s="1"/>
  <c r="O238" i="9"/>
  <c r="O237" i="9" s="1"/>
  <c r="O11" i="9" s="1"/>
  <c r="O10" i="9" s="1"/>
  <c r="V14" i="9"/>
  <c r="V13" i="9" s="1"/>
  <c r="V11" i="9" s="1"/>
  <c r="V10" i="9" s="1"/>
  <c r="G15" i="9"/>
  <c r="G162" i="9"/>
  <c r="G101" i="9"/>
  <c r="E162" i="9"/>
  <c r="AB162" i="9" s="1"/>
  <c r="AD308" i="9"/>
  <c r="Z16" i="9"/>
  <c r="Z15" i="9" s="1"/>
  <c r="E15" i="9"/>
  <c r="G282" i="9"/>
  <c r="M14" i="9"/>
  <c r="M13" i="9" s="1"/>
  <c r="M11" i="9" s="1"/>
  <c r="M10" i="9" s="1"/>
  <c r="Z240" i="9"/>
  <c r="Z239" i="9" s="1"/>
  <c r="E239" i="9"/>
  <c r="G275" i="9"/>
  <c r="E276" i="9"/>
  <c r="Z147" i="9"/>
  <c r="Z145" i="9" s="1"/>
  <c r="Z101" i="9" s="1"/>
  <c r="E145" i="9"/>
  <c r="AB145" i="9" s="1"/>
  <c r="Z320" i="9"/>
  <c r="Z319" i="9" s="1"/>
  <c r="E319" i="9"/>
  <c r="AB319" i="9" s="1"/>
  <c r="Z308" i="9"/>
  <c r="E220" i="9"/>
  <c r="AB221" i="9"/>
  <c r="Z162" i="9"/>
  <c r="R237" i="9"/>
  <c r="R11" i="9" s="1"/>
  <c r="R10" i="9" s="1"/>
  <c r="E283" i="9"/>
  <c r="Z284" i="9"/>
  <c r="Z283" i="9" s="1"/>
  <c r="D33" i="6"/>
  <c r="C33" i="6"/>
  <c r="G238" i="9" l="1"/>
  <c r="G14" i="9"/>
  <c r="G13" i="9" s="1"/>
  <c r="AB283" i="9"/>
  <c r="E282" i="9"/>
  <c r="E275" i="9"/>
  <c r="AB275" i="9" s="1"/>
  <c r="Z276" i="9"/>
  <c r="Z275" i="9" s="1"/>
  <c r="Z238" i="9" s="1"/>
  <c r="AB15" i="9"/>
  <c r="AB239" i="9"/>
  <c r="G237" i="9"/>
  <c r="Z282" i="9"/>
  <c r="Z14" i="9"/>
  <c r="Z13" i="9" s="1"/>
  <c r="E101" i="9"/>
  <c r="AB101" i="9" s="1"/>
  <c r="G11" i="9" l="1"/>
  <c r="G10" i="9" s="1"/>
  <c r="Z237" i="9"/>
  <c r="Z11" i="9" s="1"/>
  <c r="Z10" i="9" s="1"/>
  <c r="E238" i="9"/>
  <c r="E237" i="9" s="1"/>
  <c r="AB237" i="9" s="1"/>
  <c r="E14" i="9"/>
  <c r="E13" i="9" s="1"/>
  <c r="AB13" i="9" s="1"/>
  <c r="D133" i="7"/>
  <c r="J133" i="7" s="1"/>
  <c r="F147" i="7"/>
  <c r="F142" i="7"/>
  <c r="F137" i="7"/>
  <c r="F131" i="7"/>
  <c r="H243" i="7"/>
  <c r="I243" i="7" s="1"/>
  <c r="H242" i="7"/>
  <c r="I242" i="7" s="1"/>
  <c r="H239" i="7"/>
  <c r="I239" i="7" s="1"/>
  <c r="H238" i="7"/>
  <c r="I238" i="7" s="1"/>
  <c r="H237" i="7"/>
  <c r="H231" i="7"/>
  <c r="I231" i="7" s="1"/>
  <c r="I230" i="7" s="1"/>
  <c r="H229" i="7"/>
  <c r="I229" i="7" s="1"/>
  <c r="H220" i="7"/>
  <c r="I220" i="7" s="1"/>
  <c r="H219" i="7"/>
  <c r="I219" i="7" s="1"/>
  <c r="H217" i="7"/>
  <c r="I217" i="7" s="1"/>
  <c r="H216" i="7"/>
  <c r="I216" i="7" s="1"/>
  <c r="H215" i="7"/>
  <c r="I215" i="7" s="1"/>
  <c r="D217" i="7"/>
  <c r="J217" i="7" l="1"/>
  <c r="I241" i="7"/>
  <c r="E11" i="9"/>
  <c r="E10" i="9" s="1"/>
  <c r="F130" i="7"/>
  <c r="H234" i="7"/>
  <c r="I237" i="7"/>
  <c r="I228" i="7"/>
  <c r="H62" i="7"/>
  <c r="I62" i="7" s="1"/>
  <c r="D62" i="7"/>
  <c r="H61" i="7"/>
  <c r="I61" i="7" s="1"/>
  <c r="D61" i="7"/>
  <c r="D237" i="7"/>
  <c r="D238" i="7"/>
  <c r="J238" i="7" s="1"/>
  <c r="D239" i="7"/>
  <c r="J239" i="7" s="1"/>
  <c r="J62" i="7" l="1"/>
  <c r="J61" i="7"/>
  <c r="J237" i="7"/>
  <c r="I234" i="7"/>
  <c r="I233" i="7" s="1"/>
  <c r="H226" i="7"/>
  <c r="I226" i="7" s="1"/>
  <c r="D226" i="7"/>
  <c r="D232" i="7"/>
  <c r="E221" i="7"/>
  <c r="F221" i="7"/>
  <c r="G221" i="7"/>
  <c r="H224" i="7"/>
  <c r="I224" i="7" s="1"/>
  <c r="D224" i="7"/>
  <c r="H227" i="7"/>
  <c r="I227" i="7" s="1"/>
  <c r="D227" i="7"/>
  <c r="H223" i="7"/>
  <c r="I223" i="7" s="1"/>
  <c r="H222" i="7"/>
  <c r="I222" i="7" s="1"/>
  <c r="H210" i="7"/>
  <c r="I210" i="7" s="1"/>
  <c r="D223" i="7"/>
  <c r="D222" i="7"/>
  <c r="D219" i="7"/>
  <c r="J219" i="7" s="1"/>
  <c r="D220" i="7"/>
  <c r="J220" i="7" s="1"/>
  <c r="H207" i="7"/>
  <c r="I207" i="7" s="1"/>
  <c r="H206" i="7"/>
  <c r="I206" i="7" s="1"/>
  <c r="H205" i="7"/>
  <c r="I205" i="7" s="1"/>
  <c r="D205" i="7"/>
  <c r="D206" i="7"/>
  <c r="D207" i="7"/>
  <c r="H209" i="7"/>
  <c r="I209" i="7" s="1"/>
  <c r="H208" i="7"/>
  <c r="I208" i="7" s="1"/>
  <c r="H175" i="7"/>
  <c r="I175" i="7" s="1"/>
  <c r="H176" i="7"/>
  <c r="I176" i="7" s="1"/>
  <c r="D175" i="7"/>
  <c r="J175" i="7" s="1"/>
  <c r="D176" i="7"/>
  <c r="H177" i="7"/>
  <c r="I177" i="7" s="1"/>
  <c r="H178" i="7"/>
  <c r="I178" i="7" s="1"/>
  <c r="H179" i="7"/>
  <c r="I179" i="7" s="1"/>
  <c r="E174" i="7"/>
  <c r="G174" i="7"/>
  <c r="D177" i="7"/>
  <c r="D178" i="7"/>
  <c r="D179" i="7"/>
  <c r="H188" i="7"/>
  <c r="I188" i="7" s="1"/>
  <c r="D186" i="7"/>
  <c r="D188" i="7"/>
  <c r="J188" i="7" s="1"/>
  <c r="H186" i="7"/>
  <c r="I186" i="7" s="1"/>
  <c r="H187" i="7"/>
  <c r="I187" i="7" s="1"/>
  <c r="D187" i="7"/>
  <c r="H189" i="7"/>
  <c r="I189" i="7" s="1"/>
  <c r="H185" i="7"/>
  <c r="I185" i="7" s="1"/>
  <c r="J179" i="7" l="1"/>
  <c r="J205" i="7"/>
  <c r="I221" i="7"/>
  <c r="J186" i="7"/>
  <c r="J176" i="7"/>
  <c r="J222" i="7"/>
  <c r="J224" i="7"/>
  <c r="J178" i="7"/>
  <c r="J187" i="7"/>
  <c r="J177" i="7"/>
  <c r="J206" i="7"/>
  <c r="J207" i="7"/>
  <c r="J223" i="7"/>
  <c r="J227" i="7"/>
  <c r="J226" i="7"/>
  <c r="D221" i="7"/>
  <c r="J232" i="7"/>
  <c r="D26" i="6"/>
  <c r="H221" i="7"/>
  <c r="J221" i="7" l="1"/>
  <c r="E184" i="7" l="1"/>
  <c r="E183" i="7" s="1"/>
  <c r="G184" i="7"/>
  <c r="G183" i="7" s="1"/>
  <c r="E173" i="7"/>
  <c r="G173" i="7"/>
  <c r="E167" i="7" l="1"/>
  <c r="G167" i="7"/>
  <c r="H171" i="7"/>
  <c r="I171" i="7" s="1"/>
  <c r="H172" i="7"/>
  <c r="I172" i="7" s="1"/>
  <c r="D169" i="7"/>
  <c r="D170" i="7"/>
  <c r="J170" i="7" s="1"/>
  <c r="D171" i="7"/>
  <c r="D172" i="7"/>
  <c r="J172" i="7" s="1"/>
  <c r="J171" i="7" l="1"/>
  <c r="D111" i="7"/>
  <c r="J111" i="7" s="1"/>
  <c r="H50" i="7"/>
  <c r="I50" i="7" s="1"/>
  <c r="D50" i="7"/>
  <c r="H105" i="7"/>
  <c r="I105" i="7" s="1"/>
  <c r="D105" i="7"/>
  <c r="H95" i="7"/>
  <c r="I95" i="7" s="1"/>
  <c r="D95" i="7"/>
  <c r="H94" i="7"/>
  <c r="I94" i="7" s="1"/>
  <c r="D94" i="7"/>
  <c r="H93" i="7"/>
  <c r="I93" i="7" s="1"/>
  <c r="D93" i="7"/>
  <c r="H96" i="7"/>
  <c r="I96" i="7" s="1"/>
  <c r="H97" i="7"/>
  <c r="I97" i="7" s="1"/>
  <c r="H91" i="7"/>
  <c r="I91" i="7" s="1"/>
  <c r="J93" i="7" l="1"/>
  <c r="J95" i="7"/>
  <c r="J50" i="7"/>
  <c r="J94" i="7"/>
  <c r="J105" i="7"/>
  <c r="D96" i="7"/>
  <c r="J96" i="7" s="1"/>
  <c r="H84" i="7" l="1"/>
  <c r="I84" i="7" s="1"/>
  <c r="D84" i="7"/>
  <c r="H83" i="7"/>
  <c r="I83" i="7" s="1"/>
  <c r="H80" i="7"/>
  <c r="I80" i="7" s="1"/>
  <c r="H75" i="7"/>
  <c r="I75" i="7" s="1"/>
  <c r="H70" i="7"/>
  <c r="I70" i="7" s="1"/>
  <c r="H73" i="7"/>
  <c r="I73" i="7" s="1"/>
  <c r="H74" i="7"/>
  <c r="I74" i="7" s="1"/>
  <c r="J84" i="7" l="1"/>
  <c r="D60" i="7"/>
  <c r="J60" i="7" s="1"/>
  <c r="H48" i="7"/>
  <c r="I48" i="7" s="1"/>
  <c r="H49" i="7"/>
  <c r="I49" i="7" s="1"/>
  <c r="H51" i="7"/>
  <c r="I51" i="7" s="1"/>
  <c r="H52" i="7"/>
  <c r="I52" i="7" s="1"/>
  <c r="H54" i="7"/>
  <c r="I54" i="7" s="1"/>
  <c r="H44" i="7" l="1"/>
  <c r="I44" i="7" s="1"/>
  <c r="H42" i="7"/>
  <c r="I42" i="7" s="1"/>
  <c r="D42" i="7"/>
  <c r="H43" i="7"/>
  <c r="I43" i="7" s="1"/>
  <c r="D43" i="7"/>
  <c r="H41" i="7"/>
  <c r="I41" i="7" s="1"/>
  <c r="H36" i="7"/>
  <c r="I36" i="7" s="1"/>
  <c r="H37" i="7"/>
  <c r="I37" i="7" s="1"/>
  <c r="H32" i="7"/>
  <c r="I32" i="7" s="1"/>
  <c r="H34" i="7"/>
  <c r="I34" i="7" s="1"/>
  <c r="D19" i="7"/>
  <c r="J19" i="7" s="1"/>
  <c r="H18" i="7"/>
  <c r="I18" i="7" s="1"/>
  <c r="D18" i="7"/>
  <c r="J18" i="7" l="1"/>
  <c r="J43" i="7"/>
  <c r="J42" i="7"/>
  <c r="H17" i="7"/>
  <c r="I17" i="7" s="1"/>
  <c r="D17" i="7"/>
  <c r="D20" i="7"/>
  <c r="J20" i="7" s="1"/>
  <c r="D15" i="7"/>
  <c r="J15" i="7" s="1"/>
  <c r="J17" i="7" l="1"/>
  <c r="H169" i="7"/>
  <c r="G166" i="7"/>
  <c r="E166" i="7"/>
  <c r="H128" i="7"/>
  <c r="I128" i="7" s="1"/>
  <c r="D156" i="7"/>
  <c r="J156" i="7" s="1"/>
  <c r="D157" i="7"/>
  <c r="J157" i="7" s="1"/>
  <c r="D164" i="7"/>
  <c r="J164" i="7" s="1"/>
  <c r="D165" i="7"/>
  <c r="J165" i="7" s="1"/>
  <c r="I169" i="7" l="1"/>
  <c r="J169" i="7"/>
  <c r="D168" i="7"/>
  <c r="F167" i="7"/>
  <c r="F166" i="7" s="1"/>
  <c r="H168" i="7"/>
  <c r="I168" i="7" s="1"/>
  <c r="J168" i="7" l="1"/>
  <c r="D167" i="7"/>
  <c r="D166" i="7" s="1"/>
  <c r="D14" i="6" s="1"/>
  <c r="I167" i="7"/>
  <c r="I166" i="7" s="1"/>
  <c r="H167" i="7"/>
  <c r="H166" i="7" s="1"/>
  <c r="J167" i="7" l="1"/>
  <c r="J166" i="7" s="1"/>
  <c r="H120" i="7"/>
  <c r="H114" i="7"/>
  <c r="H110" i="7"/>
  <c r="H104" i="7"/>
  <c r="D12" i="8"/>
  <c r="C12" i="8"/>
  <c r="H155" i="7"/>
  <c r="I155" i="7" s="1"/>
  <c r="H150" i="7"/>
  <c r="I150" i="7" s="1"/>
  <c r="H145" i="7"/>
  <c r="I145" i="7" s="1"/>
  <c r="H140" i="7"/>
  <c r="I140" i="7" s="1"/>
  <c r="H109" i="7" l="1"/>
  <c r="I110" i="7"/>
  <c r="I109" i="7" s="1"/>
  <c r="H113" i="7"/>
  <c r="I114" i="7"/>
  <c r="I113" i="7" s="1"/>
  <c r="H119" i="7"/>
  <c r="I120" i="7"/>
  <c r="I119" i="7" s="1"/>
  <c r="H103" i="7"/>
  <c r="I104" i="7"/>
  <c r="I103" i="7" s="1"/>
  <c r="F234" i="7"/>
  <c r="E212" i="7"/>
  <c r="E211" i="7" s="1"/>
  <c r="G212" i="7"/>
  <c r="G211" i="7" s="1"/>
  <c r="H213" i="7"/>
  <c r="D214" i="7"/>
  <c r="J214" i="7" s="1"/>
  <c r="F184" i="7"/>
  <c r="F183" i="7" s="1"/>
  <c r="F174" i="7"/>
  <c r="F173" i="7" s="1"/>
  <c r="D12" i="7"/>
  <c r="J12" i="7" s="1"/>
  <c r="H212" i="7" l="1"/>
  <c r="H211" i="7" s="1"/>
  <c r="I213" i="7"/>
  <c r="I212" i="7" s="1"/>
  <c r="I211" i="7" s="1"/>
  <c r="F212" i="7"/>
  <c r="F211" i="7" s="1"/>
  <c r="D213" i="7"/>
  <c r="D54" i="6"/>
  <c r="C54" i="6"/>
  <c r="C31" i="6"/>
  <c r="C8" i="6"/>
  <c r="J213" i="7" l="1"/>
  <c r="C30" i="6"/>
  <c r="C29" i="6" s="1"/>
  <c r="C7" i="6"/>
  <c r="C6" i="6" s="1"/>
  <c r="C233" i="7"/>
  <c r="E241" i="7"/>
  <c r="F241" i="7"/>
  <c r="G241" i="7"/>
  <c r="H241" i="7"/>
  <c r="E233" i="7"/>
  <c r="H137" i="7"/>
  <c r="I137" i="7" s="1"/>
  <c r="H203" i="7"/>
  <c r="I203" i="7" s="1"/>
  <c r="H152" i="7"/>
  <c r="I152" i="7" s="1"/>
  <c r="H147" i="7"/>
  <c r="I147" i="7" s="1"/>
  <c r="H142" i="7"/>
  <c r="I142" i="7" s="1"/>
  <c r="H131" i="7"/>
  <c r="I131" i="7" s="1"/>
  <c r="D245" i="7"/>
  <c r="J245" i="7" s="1"/>
  <c r="D244" i="7"/>
  <c r="J244" i="7" s="1"/>
  <c r="D243" i="7"/>
  <c r="J243" i="7" s="1"/>
  <c r="D242" i="7"/>
  <c r="D236" i="7"/>
  <c r="J236" i="7" s="1"/>
  <c r="D235" i="7"/>
  <c r="D231" i="7"/>
  <c r="H230" i="7"/>
  <c r="H228" i="7" s="1"/>
  <c r="G230" i="7"/>
  <c r="G228" i="7" s="1"/>
  <c r="F230" i="7"/>
  <c r="F228" i="7" s="1"/>
  <c r="E230" i="7"/>
  <c r="E228" i="7" s="1"/>
  <c r="D229" i="7"/>
  <c r="J229" i="7" s="1"/>
  <c r="D218" i="7"/>
  <c r="J218" i="7" s="1"/>
  <c r="D216" i="7"/>
  <c r="J216" i="7" s="1"/>
  <c r="D215" i="7"/>
  <c r="J215" i="7" s="1"/>
  <c r="D210" i="7"/>
  <c r="J210" i="7" s="1"/>
  <c r="D209" i="7"/>
  <c r="J209" i="7" s="1"/>
  <c r="D208" i="7"/>
  <c r="J208" i="7" s="1"/>
  <c r="H204" i="7"/>
  <c r="I204" i="7" s="1"/>
  <c r="D204" i="7"/>
  <c r="D203" i="7"/>
  <c r="G202" i="7"/>
  <c r="F202" i="7"/>
  <c r="D201" i="7"/>
  <c r="J201" i="7" s="1"/>
  <c r="D199" i="7"/>
  <c r="J199" i="7" s="1"/>
  <c r="D194" i="7"/>
  <c r="J194" i="7" s="1"/>
  <c r="D193" i="7"/>
  <c r="H192" i="7"/>
  <c r="F192" i="7"/>
  <c r="E192" i="7"/>
  <c r="D191" i="7"/>
  <c r="D190" i="7" s="1"/>
  <c r="H190" i="7"/>
  <c r="G190" i="7"/>
  <c r="F190" i="7"/>
  <c r="E190" i="7"/>
  <c r="D189" i="7"/>
  <c r="J189" i="7" s="1"/>
  <c r="D185" i="7"/>
  <c r="J185" i="7" s="1"/>
  <c r="D182" i="7"/>
  <c r="H181" i="7"/>
  <c r="H180" i="7" s="1"/>
  <c r="G181" i="7"/>
  <c r="G180" i="7" s="1"/>
  <c r="F181" i="7"/>
  <c r="F180" i="7" s="1"/>
  <c r="E181" i="7"/>
  <c r="E180" i="7" s="1"/>
  <c r="D163" i="7"/>
  <c r="J163" i="7" s="1"/>
  <c r="D162" i="7"/>
  <c r="J162" i="7" s="1"/>
  <c r="D161" i="7"/>
  <c r="J161" i="7" s="1"/>
  <c r="D160" i="7"/>
  <c r="H159" i="7"/>
  <c r="H158" i="7" s="1"/>
  <c r="G158" i="7"/>
  <c r="F159" i="7"/>
  <c r="F158" i="7" s="1"/>
  <c r="E159" i="7"/>
  <c r="E158" i="7" s="1"/>
  <c r="D155" i="7"/>
  <c r="J155" i="7" s="1"/>
  <c r="H153" i="7"/>
  <c r="I153" i="7" s="1"/>
  <c r="D153" i="7"/>
  <c r="D152" i="7"/>
  <c r="G151" i="7"/>
  <c r="D150" i="7"/>
  <c r="J150" i="7" s="1"/>
  <c r="H148" i="7"/>
  <c r="I148" i="7" s="1"/>
  <c r="D148" i="7"/>
  <c r="E146" i="7"/>
  <c r="D147" i="7"/>
  <c r="J147" i="7" s="1"/>
  <c r="G146" i="7"/>
  <c r="F146" i="7"/>
  <c r="D145" i="7"/>
  <c r="J145" i="7" s="1"/>
  <c r="H143" i="7"/>
  <c r="I143" i="7" s="1"/>
  <c r="D143" i="7"/>
  <c r="D142" i="7"/>
  <c r="G141" i="7"/>
  <c r="F141" i="7"/>
  <c r="E141" i="7"/>
  <c r="D140" i="7"/>
  <c r="J140" i="7" s="1"/>
  <c r="H138" i="7"/>
  <c r="I138" i="7" s="1"/>
  <c r="D138" i="7"/>
  <c r="D137" i="7"/>
  <c r="G136" i="7"/>
  <c r="F136" i="7"/>
  <c r="H135" i="7"/>
  <c r="I135" i="7" s="1"/>
  <c r="D135" i="7"/>
  <c r="H132" i="7"/>
  <c r="I132" i="7" s="1"/>
  <c r="D132" i="7"/>
  <c r="D131" i="7"/>
  <c r="G130" i="7"/>
  <c r="E130" i="7"/>
  <c r="C129" i="7"/>
  <c r="D128" i="7"/>
  <c r="J128" i="7" s="1"/>
  <c r="H125" i="7"/>
  <c r="I125" i="7" s="1"/>
  <c r="D125" i="7"/>
  <c r="D124" i="7"/>
  <c r="J124" i="7" s="1"/>
  <c r="D123" i="7"/>
  <c r="J123" i="7" s="1"/>
  <c r="D120" i="7"/>
  <c r="D114" i="7"/>
  <c r="D110" i="7"/>
  <c r="D104" i="7"/>
  <c r="D97" i="7"/>
  <c r="J97" i="7" s="1"/>
  <c r="D92" i="7"/>
  <c r="J92" i="7" s="1"/>
  <c r="D91" i="7"/>
  <c r="J91" i="7" s="1"/>
  <c r="H90" i="7"/>
  <c r="I90" i="7" s="1"/>
  <c r="D90" i="7"/>
  <c r="H89" i="7"/>
  <c r="I89" i="7" s="1"/>
  <c r="D89" i="7"/>
  <c r="D86" i="7"/>
  <c r="J86" i="7" s="1"/>
  <c r="D83" i="7"/>
  <c r="J83" i="7" s="1"/>
  <c r="D81" i="7"/>
  <c r="J81" i="7" s="1"/>
  <c r="D80" i="7"/>
  <c r="J80" i="7" s="1"/>
  <c r="H79" i="7"/>
  <c r="I79" i="7" s="1"/>
  <c r="D79" i="7"/>
  <c r="D75" i="7"/>
  <c r="J75" i="7" s="1"/>
  <c r="D74" i="7"/>
  <c r="J74" i="7" s="1"/>
  <c r="D73" i="7"/>
  <c r="J73" i="7" s="1"/>
  <c r="D72" i="7"/>
  <c r="J72" i="7" s="1"/>
  <c r="D70" i="7"/>
  <c r="J70" i="7" s="1"/>
  <c r="D69" i="7"/>
  <c r="J69" i="7" s="1"/>
  <c r="D68" i="7"/>
  <c r="J68" i="7" s="1"/>
  <c r="H67" i="7"/>
  <c r="I67" i="7" s="1"/>
  <c r="D67" i="7"/>
  <c r="H66" i="7"/>
  <c r="I66" i="7" s="1"/>
  <c r="G65" i="7"/>
  <c r="F65" i="7"/>
  <c r="D63" i="7"/>
  <c r="J63" i="7" s="1"/>
  <c r="H59" i="7"/>
  <c r="I59" i="7" s="1"/>
  <c r="D59" i="7"/>
  <c r="H58" i="7"/>
  <c r="I58" i="7" s="1"/>
  <c r="D58" i="7"/>
  <c r="D54" i="7"/>
  <c r="J54" i="7" s="1"/>
  <c r="D52" i="7"/>
  <c r="J52" i="7" s="1"/>
  <c r="D51" i="7"/>
  <c r="J51" i="7" s="1"/>
  <c r="D49" i="7"/>
  <c r="J49" i="7" s="1"/>
  <c r="D48" i="7"/>
  <c r="J48" i="7" s="1"/>
  <c r="H47" i="7"/>
  <c r="I47" i="7" s="1"/>
  <c r="D47" i="7"/>
  <c r="H46" i="7"/>
  <c r="D46" i="7"/>
  <c r="D44" i="7"/>
  <c r="J44" i="7" s="1"/>
  <c r="D41" i="7"/>
  <c r="J41" i="7" s="1"/>
  <c r="H40" i="7"/>
  <c r="I40" i="7" s="1"/>
  <c r="D40" i="7"/>
  <c r="H39" i="7"/>
  <c r="I39" i="7" s="1"/>
  <c r="D39" i="7"/>
  <c r="G38" i="7"/>
  <c r="F38" i="7"/>
  <c r="E38" i="7"/>
  <c r="D37" i="7"/>
  <c r="J37" i="7" s="1"/>
  <c r="D36" i="7"/>
  <c r="J36" i="7" s="1"/>
  <c r="H35" i="7"/>
  <c r="I35" i="7" s="1"/>
  <c r="D35" i="7"/>
  <c r="D34" i="7"/>
  <c r="J34" i="7" s="1"/>
  <c r="D32" i="7"/>
  <c r="J32" i="7" s="1"/>
  <c r="D31" i="7"/>
  <c r="J31" i="7" s="1"/>
  <c r="D25" i="7"/>
  <c r="J25" i="7" s="1"/>
  <c r="H24" i="7"/>
  <c r="I24" i="7" s="1"/>
  <c r="D24" i="7"/>
  <c r="H23" i="7"/>
  <c r="I23" i="7" s="1"/>
  <c r="D21" i="7"/>
  <c r="J21" i="7" s="1"/>
  <c r="D16" i="7"/>
  <c r="J16" i="7" s="1"/>
  <c r="D14" i="7"/>
  <c r="J14" i="7" s="1"/>
  <c r="H13" i="7"/>
  <c r="I13" i="7" s="1"/>
  <c r="I11" i="7" s="1"/>
  <c r="D13" i="7"/>
  <c r="J125" i="7" l="1"/>
  <c r="J148" i="7"/>
  <c r="D38" i="7"/>
  <c r="J13" i="7"/>
  <c r="I38" i="7"/>
  <c r="J59" i="7"/>
  <c r="J138" i="7"/>
  <c r="J242" i="7"/>
  <c r="J241" i="7" s="1"/>
  <c r="D241" i="7"/>
  <c r="D192" i="7"/>
  <c r="J160" i="7"/>
  <c r="D159" i="7"/>
  <c r="D158" i="7" s="1"/>
  <c r="D202" i="7"/>
  <c r="J89" i="7"/>
  <c r="J132" i="7"/>
  <c r="J193" i="7"/>
  <c r="J192" i="7" s="1"/>
  <c r="I146" i="7"/>
  <c r="D212" i="7"/>
  <c r="D211" i="7" s="1"/>
  <c r="I22" i="7"/>
  <c r="J40" i="7"/>
  <c r="J24" i="7"/>
  <c r="J67" i="7"/>
  <c r="I151" i="7"/>
  <c r="I46" i="7"/>
  <c r="I88" i="7"/>
  <c r="I87" i="7" s="1"/>
  <c r="D113" i="7"/>
  <c r="J114" i="7"/>
  <c r="J113" i="7" s="1"/>
  <c r="J152" i="7"/>
  <c r="D174" i="7"/>
  <c r="D181" i="7"/>
  <c r="D180" i="7" s="1"/>
  <c r="D19" i="6" s="1"/>
  <c r="J182" i="7"/>
  <c r="J181" i="7" s="1"/>
  <c r="J180" i="7" s="1"/>
  <c r="I130" i="7"/>
  <c r="J203" i="7"/>
  <c r="I202" i="7"/>
  <c r="I197" i="7" s="1"/>
  <c r="I196" i="7" s="1"/>
  <c r="D103" i="7"/>
  <c r="J104" i="7"/>
  <c r="J103" i="7" s="1"/>
  <c r="J131" i="7"/>
  <c r="D130" i="7"/>
  <c r="I184" i="7"/>
  <c r="I183" i="7" s="1"/>
  <c r="J35" i="7"/>
  <c r="I65" i="7"/>
  <c r="D109" i="7"/>
  <c r="J110" i="7"/>
  <c r="J109" i="7" s="1"/>
  <c r="J191" i="7"/>
  <c r="J190" i="7" s="1"/>
  <c r="J39" i="7"/>
  <c r="J47" i="7"/>
  <c r="J58" i="7"/>
  <c r="J57" i="7" s="1"/>
  <c r="I57" i="7"/>
  <c r="J79" i="7"/>
  <c r="J90" i="7"/>
  <c r="J88" i="7" s="1"/>
  <c r="D119" i="7"/>
  <c r="J120" i="7"/>
  <c r="J135" i="7"/>
  <c r="J143" i="7"/>
  <c r="J153" i="7"/>
  <c r="I174" i="7"/>
  <c r="I173" i="7" s="1"/>
  <c r="J204" i="7"/>
  <c r="D230" i="7"/>
  <c r="D228" i="7" s="1"/>
  <c r="D25" i="6" s="1"/>
  <c r="J231" i="7"/>
  <c r="J230" i="7" s="1"/>
  <c r="J228" i="7" s="1"/>
  <c r="J142" i="7"/>
  <c r="I141" i="7"/>
  <c r="J137" i="7"/>
  <c r="I136" i="7"/>
  <c r="D234" i="7"/>
  <c r="D22" i="6" s="1"/>
  <c r="J235" i="7"/>
  <c r="J234" i="7" s="1"/>
  <c r="D11" i="7"/>
  <c r="J198" i="7"/>
  <c r="D198" i="7"/>
  <c r="D88" i="7"/>
  <c r="H88" i="7"/>
  <c r="D57" i="7"/>
  <c r="D136" i="7"/>
  <c r="F129" i="7"/>
  <c r="H11" i="7"/>
  <c r="D151" i="7"/>
  <c r="H57" i="7"/>
  <c r="H22" i="7"/>
  <c r="D27" i="6"/>
  <c r="H136" i="7"/>
  <c r="D23" i="6"/>
  <c r="D173" i="7"/>
  <c r="D17" i="6" s="1"/>
  <c r="H174" i="7"/>
  <c r="H173" i="7" s="1"/>
  <c r="H184" i="7"/>
  <c r="H183" i="7" s="1"/>
  <c r="D184" i="7"/>
  <c r="D183" i="7" s="1"/>
  <c r="D20" i="6" s="1"/>
  <c r="J119" i="7"/>
  <c r="C127" i="7"/>
  <c r="C126" i="7" s="1"/>
  <c r="G129" i="7"/>
  <c r="F233" i="7"/>
  <c r="H151" i="7"/>
  <c r="H141" i="7"/>
  <c r="H202" i="7"/>
  <c r="H197" i="7" s="1"/>
  <c r="H196" i="7" s="1"/>
  <c r="H233" i="7"/>
  <c r="G233" i="7"/>
  <c r="H146" i="7"/>
  <c r="E197" i="7"/>
  <c r="E136" i="7"/>
  <c r="G197" i="7"/>
  <c r="H130" i="7"/>
  <c r="D18" i="6"/>
  <c r="F197" i="7"/>
  <c r="F196" i="7" s="1"/>
  <c r="H38" i="7"/>
  <c r="E87" i="7"/>
  <c r="G87" i="7"/>
  <c r="E10" i="7"/>
  <c r="G10" i="7"/>
  <c r="D146" i="7"/>
  <c r="F87" i="7"/>
  <c r="J159" i="7"/>
  <c r="J158" i="7" s="1"/>
  <c r="D141" i="7"/>
  <c r="D66" i="7"/>
  <c r="D65" i="7" s="1"/>
  <c r="E65" i="7"/>
  <c r="H65" i="7"/>
  <c r="D21" i="6"/>
  <c r="D23" i="7"/>
  <c r="E151" i="7"/>
  <c r="J212" i="7"/>
  <c r="J211" i="7" s="1"/>
  <c r="I10" i="7" l="1"/>
  <c r="I9" i="7" s="1"/>
  <c r="D197" i="7"/>
  <c r="I129" i="7"/>
  <c r="I127" i="7" s="1"/>
  <c r="I126" i="7" s="1"/>
  <c r="J66" i="7"/>
  <c r="J46" i="7"/>
  <c r="D22" i="7"/>
  <c r="J23" i="7"/>
  <c r="J22" i="7" s="1"/>
  <c r="J202" i="7"/>
  <c r="J197" i="7" s="1"/>
  <c r="E129" i="7"/>
  <c r="E127" i="7" s="1"/>
  <c r="E126" i="7" s="1"/>
  <c r="J11" i="7"/>
  <c r="D233" i="7"/>
  <c r="D129" i="7"/>
  <c r="J174" i="7"/>
  <c r="J173" i="7" s="1"/>
  <c r="J184" i="7"/>
  <c r="J183" i="7" s="1"/>
  <c r="G9" i="7"/>
  <c r="E9" i="7"/>
  <c r="G127" i="7"/>
  <c r="G126" i="7" s="1"/>
  <c r="F127" i="7"/>
  <c r="F126" i="7" s="1"/>
  <c r="N128" i="7" s="1"/>
  <c r="H129" i="7"/>
  <c r="H127" i="7" s="1"/>
  <c r="H126" i="7" s="1"/>
  <c r="L127" i="7" s="1"/>
  <c r="J233" i="7"/>
  <c r="E196" i="7"/>
  <c r="J151" i="7"/>
  <c r="J141" i="7"/>
  <c r="J136" i="7"/>
  <c r="J130" i="7"/>
  <c r="H10" i="7"/>
  <c r="G196" i="7"/>
  <c r="H87" i="7"/>
  <c r="D196" i="7"/>
  <c r="J38" i="7"/>
  <c r="D87" i="7"/>
  <c r="J65" i="7"/>
  <c r="J146" i="7"/>
  <c r="F10" i="7"/>
  <c r="F9" i="7" s="1"/>
  <c r="N9" i="7" s="1"/>
  <c r="I8" i="7" l="1"/>
  <c r="N6" i="7" s="1"/>
  <c r="H9" i="7"/>
  <c r="H8" i="7" s="1"/>
  <c r="M6" i="7" s="1"/>
  <c r="D127" i="7"/>
  <c r="J129" i="7"/>
  <c r="J127" i="7" s="1"/>
  <c r="J126" i="7" s="1"/>
  <c r="G8" i="7"/>
  <c r="E8" i="7"/>
  <c r="J196" i="7"/>
  <c r="F8" i="7"/>
  <c r="J87" i="7"/>
  <c r="J10" i="7"/>
  <c r="D10" i="7"/>
  <c r="D9" i="7" s="1"/>
  <c r="D16" i="6" s="1"/>
  <c r="P6" i="7" l="1"/>
  <c r="O7" i="7"/>
  <c r="R7" i="7" s="1"/>
  <c r="D24" i="6"/>
  <c r="D126" i="7"/>
  <c r="N126" i="7" s="1"/>
  <c r="D13" i="6"/>
  <c r="J9" i="7"/>
  <c r="J8" i="7" s="1"/>
  <c r="O8" i="7" s="1"/>
  <c r="D8" i="7" l="1"/>
  <c r="N7" i="7" s="1"/>
  <c r="D33" i="8"/>
  <c r="C33" i="8"/>
  <c r="D10" i="8"/>
  <c r="C10" i="8"/>
  <c r="A4" i="8"/>
  <c r="D31" i="6"/>
  <c r="D30" i="6" s="1"/>
  <c r="D15" i="6"/>
  <c r="D12" i="6"/>
  <c r="D8" i="6"/>
  <c r="O9" i="7" l="1"/>
  <c r="D11" i="6"/>
  <c r="D7" i="6" s="1"/>
  <c r="D9" i="8"/>
  <c r="D8" i="8"/>
  <c r="D29" i="6"/>
  <c r="C9" i="8"/>
  <c r="C8" i="8" s="1"/>
  <c r="D6" i="6" l="1"/>
  <c r="P9" i="3"/>
  <c r="C9" i="3" s="1"/>
  <c r="C10" i="4"/>
  <c r="E10" i="5" l="1"/>
  <c r="E16" i="5"/>
  <c r="B16" i="5"/>
  <c r="B15" i="5"/>
  <c r="B14" i="5" s="1"/>
  <c r="E14" i="5"/>
  <c r="C14" i="5"/>
  <c r="F13" i="5"/>
  <c r="E12" i="5"/>
  <c r="E11" i="5"/>
  <c r="B10" i="5"/>
  <c r="E9" i="5"/>
  <c r="B9" i="5"/>
  <c r="F8" i="5"/>
  <c r="C8" i="5"/>
  <c r="F7" i="5" l="1"/>
  <c r="F21" i="5" s="1"/>
  <c r="E8" i="5"/>
  <c r="E13" i="5"/>
  <c r="E7" i="5" s="1"/>
  <c r="E21" i="5" s="1"/>
  <c r="B8" i="5"/>
  <c r="B7" i="5" s="1"/>
  <c r="B21" i="5" s="1"/>
  <c r="C7" i="5"/>
  <c r="C21" i="5" s="1"/>
  <c r="C8" i="4" l="1"/>
  <c r="C9" i="4"/>
  <c r="C11" i="4"/>
  <c r="C13" i="4"/>
  <c r="C14" i="4"/>
  <c r="C15" i="4"/>
  <c r="C16" i="4"/>
  <c r="C17" i="4"/>
  <c r="C18" i="4"/>
  <c r="C19" i="4"/>
  <c r="C20" i="4"/>
  <c r="C7" i="4"/>
  <c r="D6" i="4"/>
  <c r="E6" i="4"/>
  <c r="F6" i="4"/>
  <c r="AR10" i="1"/>
  <c r="AQ10" i="1"/>
  <c r="AP10" i="1"/>
  <c r="AO10" i="1"/>
  <c r="AN10" i="1"/>
  <c r="AM10" i="1"/>
  <c r="AL10" i="1"/>
  <c r="AK10" i="1"/>
  <c r="AJ10" i="1"/>
  <c r="AI10" i="1"/>
  <c r="AG10" i="1"/>
  <c r="AF10" i="1"/>
  <c r="AH10" i="1"/>
  <c r="C6" i="4" l="1"/>
  <c r="AC10" i="1"/>
  <c r="AE10" i="1"/>
  <c r="AB10" i="1" s="1"/>
  <c r="AD10" i="1" l="1"/>
</calcChain>
</file>

<file path=xl/sharedStrings.xml><?xml version="1.0" encoding="utf-8"?>
<sst xmlns="http://schemas.openxmlformats.org/spreadsheetml/2006/main" count="1497" uniqueCount="992">
  <si>
    <t>Biểu mẫu số 04</t>
  </si>
  <si>
    <t>Số TT</t>
  </si>
  <si>
    <t>Nội dung thu</t>
  </si>
  <si>
    <t>Tổng thu NS trên địa bàn 2026</t>
  </si>
  <si>
    <t>Gồm các sắc thuế và các khoản thu</t>
  </si>
  <si>
    <t>%</t>
  </si>
  <si>
    <t>DT 2026
(Được hưởng)</t>
  </si>
  <si>
    <t>Thu từ các DNNN Trung ương</t>
  </si>
  <si>
    <t>Thu từ các DNNN Địa phương</t>
  </si>
  <si>
    <t>Thu từ CTN-DV NQD</t>
  </si>
  <si>
    <t>Bao gồm</t>
  </si>
  <si>
    <t>Lệ phí trước bạ</t>
  </si>
  <si>
    <t>Thuế SD đất NN</t>
  </si>
  <si>
    <t>Thuế SD đất phi NN</t>
  </si>
  <si>
    <t>Thuế TN cá nhân</t>
  </si>
  <si>
    <t>Thu phí và lệ phí</t>
  </si>
  <si>
    <t>Thu tiền sử dụng đất 
(**)</t>
  </si>
  <si>
    <t>Thu cấp quyền khai thác khoáng sản 
(***)</t>
  </si>
  <si>
    <t>Trong đó cơ quan TW cấp</t>
  </si>
  <si>
    <t>Tiền cho thuê đất</t>
  </si>
  <si>
    <t>Thuế bảo vệ môi trường</t>
  </si>
  <si>
    <t>Thu khác ngân sách</t>
  </si>
  <si>
    <t>Trong đó Thu khác NSTW</t>
  </si>
  <si>
    <t>Thu hoa lợi, quỹ đất công ích …tại xã</t>
  </si>
  <si>
    <t>Thu tiền sử dụng đất (*)</t>
  </si>
  <si>
    <t>Thu cấp quyền khai thác khoáng sản</t>
  </si>
  <si>
    <t>Thu tại xã</t>
  </si>
  <si>
    <t>Thuế GTGT</t>
  </si>
  <si>
    <t>Thuế TNDN</t>
  </si>
  <si>
    <t>Thuế TTĐB</t>
  </si>
  <si>
    <t>Thuế Tài nguyên (*)</t>
  </si>
  <si>
    <t>Trong đó TN nước thủy điện</t>
  </si>
  <si>
    <t>BVMT</t>
  </si>
  <si>
    <t>Thuế TT ĐB</t>
  </si>
  <si>
    <t xml:space="preserve">Thuế Tài nguyên </t>
  </si>
  <si>
    <t>A</t>
  </si>
  <si>
    <t>B</t>
  </si>
  <si>
    <t>(1)</t>
  </si>
  <si>
    <t>(2)</t>
  </si>
  <si>
    <t>(3)</t>
  </si>
  <si>
    <t>(4)</t>
  </si>
  <si>
    <t>(4.1)</t>
  </si>
  <si>
    <t>(4.2)</t>
  </si>
  <si>
    <t>(4.3)</t>
  </si>
  <si>
    <t>(4.4)</t>
  </si>
  <si>
    <t>(4.4a)</t>
  </si>
  <si>
    <t>(5)</t>
  </si>
  <si>
    <t>(6)</t>
  </si>
  <si>
    <t>(7)</t>
  </si>
  <si>
    <t>(8)</t>
  </si>
  <si>
    <t>(9)</t>
  </si>
  <si>
    <t>(10)</t>
  </si>
  <si>
    <t>(11)</t>
  </si>
  <si>
    <t>(11.1)</t>
  </si>
  <si>
    <t>(12)</t>
  </si>
  <si>
    <t>(13)</t>
  </si>
  <si>
    <t>(14)</t>
  </si>
  <si>
    <t>(14.1)</t>
  </si>
  <si>
    <t>(15)</t>
  </si>
  <si>
    <t>Xã Tu Mơ Rông</t>
  </si>
  <si>
    <t>UBND XÃ TU MƠ RÔNG</t>
  </si>
  <si>
    <t>Đvt: Triệu đồng</t>
  </si>
  <si>
    <t>Biểu mẫu số 01</t>
  </si>
  <si>
    <t>BIỂU TỔNG HỢP DỰ TOÁN THU NGÂN SÁCH TRÊN ĐỊA BÀN XÃ TU MƠ RÔNG NĂM 2026</t>
  </si>
  <si>
    <t>STT</t>
  </si>
  <si>
    <t>Tên đơn vị</t>
  </si>
  <si>
    <t>Tổng thu NSNN trên địa bàn</t>
  </si>
  <si>
    <t>Thu NSĐP được hưởng theo phân cấp</t>
  </si>
  <si>
    <t>Chia ra</t>
  </si>
  <si>
    <t xml:space="preserve">Số bổ sung cân đối từ ngân sách cấp trên </t>
  </si>
  <si>
    <t>Số bổ sung thực hiện cải cách tiền lương</t>
  </si>
  <si>
    <t>Tổng chi cân đối NSĐP</t>
  </si>
  <si>
    <t>Thu NSĐP hưởng 100%</t>
  </si>
  <si>
    <t>Thu phân chia</t>
  </si>
  <si>
    <t>Tổng số</t>
  </si>
  <si>
    <t>Trong đó: Phần NSĐP được hưởng</t>
  </si>
  <si>
    <t>(2)=(3)+(5)</t>
  </si>
  <si>
    <t>(8)=(2)+(6)+(7)</t>
  </si>
  <si>
    <t>Biểu mẫu số 02</t>
  </si>
  <si>
    <t>DỰ TOÁN THU, CHI NGÂN SÁCH ĐỊA PHƯƠNG VÀ SỐ BỔ SUNG CÂN ĐỐI TỪ NGÂN SÁCH TỈNH
CHO NGÂN SÁCH XÃ NĂM 2026</t>
  </si>
  <si>
    <t>DỰ TOÁN CHI NGÂN SÁCH ĐỊA PHƯƠNG TỪNG XÃ NĂM 2026</t>
  </si>
  <si>
    <t xml:space="preserve">Tên đơn vị </t>
  </si>
  <si>
    <t>Tổng chi ngân sách địa phương</t>
  </si>
  <si>
    <t>Tổng chi cân đối ngân sách địa phương</t>
  </si>
  <si>
    <t>Chi chương trình mục tiêu</t>
  </si>
  <si>
    <t>Chi chuyển nguồn sang năm sau</t>
  </si>
  <si>
    <t>Chi đầu tư phát triển</t>
  </si>
  <si>
    <t>Chi thường xuyên</t>
  </si>
  <si>
    <t>Dự phòng ngân sách</t>
  </si>
  <si>
    <t>Chi tạo nguồn điều chỉnh tiền lương</t>
  </si>
  <si>
    <t>Bổ sung vốn đầu tư để thực hiện các chương trình mục tiêu, nhiệm vụ</t>
  </si>
  <si>
    <t>Bổ sung vốn sự nghiệp thực hiện các chế độ, chính sách</t>
  </si>
  <si>
    <t>Bổ sung thực hiện các chương trình mục tiêu quốc gia</t>
  </si>
  <si>
    <t>Trong đó</t>
  </si>
  <si>
    <t>Chi đầu tư từ nguồn vốn trong nước</t>
  </si>
  <si>
    <t xml:space="preserve">Chi đầu tư từ nguồn ngân sách tỉnh bổ sung  </t>
  </si>
  <si>
    <t>Chi đầu tư từ nguồn thu tiền sử dụng đất (*)</t>
  </si>
  <si>
    <t>Chi giáo dục, đào tạo và dạy nghề</t>
  </si>
  <si>
    <t>Chi khoa học và công nghệ</t>
  </si>
  <si>
    <t>1=2+14+18</t>
  </si>
  <si>
    <t>Biểu mẫu số 03</t>
  </si>
  <si>
    <t>Dự toán năm 2026</t>
  </si>
  <si>
    <t>Bổ sung vốn sự nghiệp thực hiện các chế độ, chính sách, nhiệm vụ</t>
  </si>
  <si>
    <t>1=2+3+4</t>
  </si>
  <si>
    <t xml:space="preserve">Kinh phí thực hiện chúc thọ, mừng thọ người cao tuổi </t>
  </si>
  <si>
    <t>Kinh phí đối với người hoạt động không chuyên trách ở cấp xã, ở thôn, tổ dân phố, người trực tiếp tham gia hoạt động ở thôn, tổ dân phố và mức khoán kinh phí hoạt động</t>
  </si>
  <si>
    <t>Kinh phí thực hiện hỗ trợ, bồi dưỡng, trợ cấp và các mức chi khác đảm bảo điều kiện hoạt động đối với lực lượng tham gia bảo vệ an ninh</t>
  </si>
  <si>
    <t xml:space="preserve">Kinh phí thực hiện chính sách hỗ trợ đối với cán bộ, công chức, viên chức, người lao động làm việc tại Bộ phận Một cửa các cấp trên địa bàn tỉnh Quảng Ngãi </t>
  </si>
  <si>
    <t>Kinh phí hỗ trợ hoạt động của Ban thanh tra nhân dân</t>
  </si>
  <si>
    <t>Kinh phí hỗ trợ công tác viên bảo vệ, chăm sóc và giáo dục trẻ em ở thôn, tổ dân phố</t>
  </si>
  <si>
    <t>Kinh phí thù lao chi trả chính sách BTXH</t>
  </si>
  <si>
    <t xml:space="preserve">Trợ cấp mai táng phí người có công </t>
  </si>
  <si>
    <t xml:space="preserve">Hỗ trợ kinh phí bảo đảm công tác phổ biến, giáo dục pháp luật, chuẩn tiếp cận pháp luật và hòa giải ở cơ sở </t>
  </si>
  <si>
    <t>Hỗ trợ tham gia đại hội thể dục thể thao cấp tỉnh</t>
  </si>
  <si>
    <t>Hỗ trợ Quyết định số 42 của Tỉnh ủy</t>
  </si>
  <si>
    <t>Hỗ trợ phát triển đất trồng lúa</t>
  </si>
  <si>
    <t>Kinh phí thực hiện chế độ chính sách ưu đãi người có công với cách mạng</t>
  </si>
  <si>
    <t>DỰ TOÁN BỔ SUNG CÓ MỤC TIÊU TỪ NGÂN SÁCH CẤP TỈNH CHO NGÂN SÁCH XÃ TU MƠ RÔNG NĂM 2026</t>
  </si>
  <si>
    <t>Nội dung chi</t>
  </si>
  <si>
    <t>DỰ TOÁN THU</t>
  </si>
  <si>
    <t>DỰ TOÁN CHI</t>
  </si>
  <si>
    <t>Nội dung</t>
  </si>
  <si>
    <t>Tổng thu NSNN</t>
  </si>
  <si>
    <t>Thu điều tiết ngân sách địa phương hưởng</t>
  </si>
  <si>
    <t>Tổng chi NSNN</t>
  </si>
  <si>
    <t>Chi ngân sách địa phương</t>
  </si>
  <si>
    <t>Phần A: Tổng thu ngân sách</t>
  </si>
  <si>
    <t>Phần A: Tổng chi ngân sách</t>
  </si>
  <si>
    <t>I. Thu cân đối ngân sách</t>
  </si>
  <si>
    <t>I. Chi đầu tư phát triển</t>
  </si>
  <si>
    <t>1. Thu tại địa bàn NS xã hưởng</t>
  </si>
  <si>
    <t>- Chi xây dựng cơ bản tập trung phân cấp</t>
  </si>
  <si>
    <t>2. Bổ sung cân đối ngân sách</t>
  </si>
  <si>
    <t>- Chi từ nguồn thu sử dụng đất để lại</t>
  </si>
  <si>
    <t>II. Chi thường xuyên</t>
  </si>
  <si>
    <t>Trong đó: Bổ sung tiền lương</t>
  </si>
  <si>
    <t>III. Chi dự phòng</t>
  </si>
  <si>
    <t>II. Thu Ngân sách cấp dưới nộp lên</t>
  </si>
  <si>
    <t>IV. Chi từ nguồn bổ sung có mục tiêu</t>
  </si>
  <si>
    <t>III. Thu Bổ sung có mục tiêu</t>
  </si>
  <si>
    <t>1. Chi từ nguồn BSCMT ngân sách tỉnh</t>
  </si>
  <si>
    <t>1. Thu BSCMT Ngân sách tỉnh</t>
  </si>
  <si>
    <t>- Chi từ nguồn thu SDĐ để lại</t>
  </si>
  <si>
    <t>2. Thu BSCMT Ngân sách TW</t>
  </si>
  <si>
    <t>2. Chi từ nguồn BSCMT ngân sách TW</t>
  </si>
  <si>
    <t xml:space="preserve">Trong đó: Thu BSCMT CT MTQG </t>
  </si>
  <si>
    <t>Trong đó: Chi từ nguồn BSCMT CT MTQG</t>
  </si>
  <si>
    <t>Phần B: Thu quản lý qua ngân sách</t>
  </si>
  <si>
    <t>Phần B: Chi quản lý qua ngân sách</t>
  </si>
  <si>
    <t>I. Thu phạt an toàn giao thông</t>
  </si>
  <si>
    <t>I. Chi từ nguồn phạt an toàn giao thông</t>
  </si>
  <si>
    <t>II. Thu học phí</t>
  </si>
  <si>
    <t>II. Chi từ nguồn thu học phí</t>
  </si>
  <si>
    <t>TỔNG THU = (Phần A+Phần B)</t>
  </si>
  <si>
    <t>TỔNG CHI = (Phần A + Phần B)</t>
  </si>
  <si>
    <t>BẢNG CÂN ĐỐI DỰ TOÁN THU CHI NGÂN SÁCH NHÀ NƯỚC NĂM 2026</t>
  </si>
  <si>
    <t>Xã</t>
  </si>
  <si>
    <t>Kinh phí chuyên trách CNTT theo
NĐ 179/2025/NĐCP</t>
  </si>
  <si>
    <t>TT</t>
  </si>
  <si>
    <t>Dự toán HĐND xã giao</t>
  </si>
  <si>
    <t>Ghi chú</t>
  </si>
  <si>
    <t>Tổng chi ngân sách địa phương (A+B)</t>
  </si>
  <si>
    <t>Chi cân đối ngân sách xã</t>
  </si>
  <si>
    <t>I</t>
  </si>
  <si>
    <t>Chi đầu tư công</t>
  </si>
  <si>
    <t>XDCB Tập trung (Nguồn vốn phân cấp cho xã)</t>
  </si>
  <si>
    <t>II</t>
  </si>
  <si>
    <t>II.1</t>
  </si>
  <si>
    <t>Chi sự nghiệp giáo dục-đào tạo</t>
  </si>
  <si>
    <t>Chi sự nghiệp giáo dục</t>
  </si>
  <si>
    <t>Chi đào tạo, dạy nghề</t>
  </si>
  <si>
    <t>II.2</t>
  </si>
  <si>
    <t>Các lĩnh vực chi thường xuyên khác</t>
  </si>
  <si>
    <t>Chi quản lý hành chính</t>
  </si>
  <si>
    <t>Chi sự nghiệp văn hóa</t>
  </si>
  <si>
    <t>Chi sự nghiệp y tế, dân số và gia đình</t>
  </si>
  <si>
    <t>Chi sự nghiệp thể dục - thể thao</t>
  </si>
  <si>
    <t>Chi sự nghiệp truyền thanh truyền hình</t>
  </si>
  <si>
    <t>Chi sự nghiệp đảm bảo xã hội</t>
  </si>
  <si>
    <t>Chi Quốc phòng</t>
  </si>
  <si>
    <t>Chi an ninh</t>
  </si>
  <si>
    <t>Chi sự nghiệp kinh tế</t>
  </si>
  <si>
    <t>Chi sự nghiệp môi trường</t>
  </si>
  <si>
    <t>Kinh phí hỗ trợ ủy thác cho vay</t>
  </si>
  <si>
    <t>III</t>
  </si>
  <si>
    <t>Chi bổ sung mục tiêu từ ngân sách cấp trên</t>
  </si>
  <si>
    <t>Ngân sách tỉnh bổ sung có mục tiêu</t>
  </si>
  <si>
    <t>Nguồn đầu tư xây dụng cơ bản vốn trong nước</t>
  </si>
  <si>
    <t>1.1</t>
  </si>
  <si>
    <t>Bổ sung nhiệm vụ cụ thể vốn sự nghiệp</t>
  </si>
  <si>
    <t>2.1</t>
  </si>
  <si>
    <t>2.2</t>
  </si>
  <si>
    <t>Ngân sách Trung ương bổ sung có mục tiêu</t>
  </si>
  <si>
    <t>Đơn vị/Nội dung</t>
  </si>
  <si>
    <t>Số b/chế được giao</t>
  </si>
  <si>
    <t xml:space="preserve"> Dự toán chi thường xuyên ngân sách theo mức lương cơ sở 2,34 triệu đồng</t>
  </si>
  <si>
    <t>Tổng cộng</t>
  </si>
  <si>
    <t>Dự toán chi  lương, các khoản phụ cấp theo mức lương 2,34 trđ</t>
  </si>
  <si>
    <t>Dự toán chi thường xuyên theo định mức</t>
  </si>
  <si>
    <t>Dự toán chi đặc thù, nhiệm vụ đột xuất</t>
  </si>
  <si>
    <t>Tổng dự toán chi thường xuyên cân đối và dự phòng ngân sách xã</t>
  </si>
  <si>
    <t xml:space="preserve">Quản lý hành chính, Đảng, Đoàn thể </t>
  </si>
  <si>
    <t>Quản lý Nhà nước</t>
  </si>
  <si>
    <t xml:space="preserve">Hội đồng nhân dân </t>
  </si>
  <si>
    <t>-</t>
  </si>
  <si>
    <t>Chi bộ máy hành chính (Lương, phụ cấp theo lương, chi thường xuyên theo định mức phân bổ)</t>
  </si>
  <si>
    <t>Quỹ tiền thưởng hằng năm theo Nghị định 73/2024/NĐ-CP</t>
  </si>
  <si>
    <t>Hoạt động phí của Đại biểu HĐND xã</t>
  </si>
  <si>
    <t xml:space="preserve">Văn phòng HĐND&amp;UBND </t>
  </si>
  <si>
    <t>Kinh phí hoạt động theo QĐ số 99-QĐ/TW</t>
  </si>
  <si>
    <t>Kinh phí phụ cấp viết bài và các nội dung khác liên quan đến Trang TTĐT</t>
  </si>
  <si>
    <t xml:space="preserve">Kinh phí bảo trì, sửa chữa máy móc, thiết bị, trả cước thuê bao trực tuyến; sửa chữa thiết bị trực tuyến; duy trì trang TTĐT </t>
  </si>
  <si>
    <t>Kinh phí Ban tiếp công dân</t>
  </si>
  <si>
    <t>Kinh tổ chức Hội nghị, hội thảo</t>
  </si>
  <si>
    <t xml:space="preserve">Phòng Kinh tế </t>
  </si>
  <si>
    <t>Kinh phí đăng ký kinh doanh, hợp tác xã và công tác kiểm tra hoạt động ĐKKD, Hợp tác xã</t>
  </si>
  <si>
    <t>Kinh phí cho công tác điều tra hộ nghèo</t>
  </si>
  <si>
    <t>Kinh phí kiểm tra công tác đất đai, địa chính, công thương,…</t>
  </si>
  <si>
    <t>Phòng Văn hóa - Xã hội</t>
  </si>
  <si>
    <t>Kinh phí kiểm tra công tác cải cách TTHC</t>
  </si>
  <si>
    <t>Kinh phí công tác tôn giáo</t>
  </si>
  <si>
    <t>Kinh phí kinh phí thực hiện các hoạt động xúc tiến du lịch, quảng bá sản phẩm đặc hữu địa phương trong và ngoài tỉnh,…</t>
  </si>
  <si>
    <t>Kinh phí cho công tác quản lý Nghĩa trang liệt sỹ, Nhà bia tưởng niệm (bao gồm tiền công bảo vệ, chăm sóc vườn hoa, cây cảnh, dọn dẹp khuôn viên…)</t>
  </si>
  <si>
    <t>Trung tâm Phục vụ Hành chính công</t>
  </si>
  <si>
    <t>Kinh phí kinh phí hoạt động theo QĐ số 99-QĐ/TW</t>
  </si>
  <si>
    <t>Đảng ủy (Văn phòng Đảng ủy)</t>
  </si>
  <si>
    <t xml:space="preserve">Quỹ tiền thưởng hằng năm theo Nghị định 73/2024/NĐ-CP </t>
  </si>
  <si>
    <t>Kinh phí hoạt động Thường trực Đảng ủy</t>
  </si>
  <si>
    <t>Kinh phí chi đặt báo Đảng,…</t>
  </si>
  <si>
    <t>Kinh phí ủy viên Ban Thường vụ Đảng ủy thực hiện các hoạt động công tác xã hội</t>
  </si>
  <si>
    <t>Kinh phí xử lý đơn thư, khiếu nại, tố cáo (Ủy ban kiểm tra xã)</t>
  </si>
  <si>
    <t>Chi chế độ tổ chức hội nghị, hội thảo</t>
  </si>
  <si>
    <t>Kinh phí soạn thảo, thẩm định văn bản</t>
  </si>
  <si>
    <t>Kinh phí chi cho các đoàn kiểm tra, giám sát</t>
  </si>
  <si>
    <t>Kinh phí thực hiện quy chế dân chủ</t>
  </si>
  <si>
    <t>Mặt trận, các ngành đoàn thể (Giao UBMT TQVN tài khoản chung)</t>
  </si>
  <si>
    <t>01</t>
  </si>
  <si>
    <t>UBMT TQVN</t>
  </si>
  <si>
    <t xml:space="preserve">Kinh phí cho công tác tiếp xúc cử tri, giám sát, phản biện xã hội </t>
  </si>
  <si>
    <t>Kinh phí cuộc vận động toàn dân đoàn kết XD NTM</t>
  </si>
  <si>
    <t>02</t>
  </si>
  <si>
    <t>Đoàn xã</t>
  </si>
  <si>
    <t>Kinh phí chi các hoạt động về Đoàn, Hội, Đội (bao gồm các hoạt động của tỉnh)</t>
  </si>
  <si>
    <t>04</t>
  </si>
  <si>
    <t>Hội Nông dân</t>
  </si>
  <si>
    <t>Hội LHPN</t>
  </si>
  <si>
    <t>05</t>
  </si>
  <si>
    <t>Hội Cựu chiến binh</t>
  </si>
  <si>
    <t>IV</t>
  </si>
  <si>
    <t>Trung tâm Chính trị</t>
  </si>
  <si>
    <t>Kinh phí đào tạo bồi dưỡng</t>
  </si>
  <si>
    <t>V</t>
  </si>
  <si>
    <t>Các đơn vị trường học</t>
  </si>
  <si>
    <t>Trường MN Hoa Pơ Lang</t>
  </si>
  <si>
    <t>Trường TH Kim Đồng</t>
  </si>
  <si>
    <t xml:space="preserve"> Trường PTDТ ВТ THCS Kpă Klơngg</t>
  </si>
  <si>
    <t>Trường PTDTBT TH - THCS xã Tu Mơ Rông</t>
  </si>
  <si>
    <t>VII</t>
  </si>
  <si>
    <t>Sự nghiệp giáo dục - đào tạo và dạy nghề</t>
  </si>
  <si>
    <t>Sự nghiệp Giáo dục và dạy nghề</t>
  </si>
  <si>
    <t>I.1</t>
  </si>
  <si>
    <t>I.4</t>
  </si>
  <si>
    <t>Trường MN Tu Mơ Rông</t>
  </si>
  <si>
    <t>Kinh phí biên chế chưa tuyển (bao gồm hệ số lương, phụ cấp thu hút, khu vực, công vụ…)</t>
  </si>
  <si>
    <t>I.5</t>
  </si>
  <si>
    <t>Sự nghiệp giáo dục khác</t>
  </si>
  <si>
    <t>Sự nghiệp Đào tạo</t>
  </si>
  <si>
    <t>C</t>
  </si>
  <si>
    <t xml:space="preserve">Sự nghiệp VH-TT </t>
  </si>
  <si>
    <t>D</t>
  </si>
  <si>
    <t>Sự nghiệp Thể dục thể thao</t>
  </si>
  <si>
    <t>Kinh phí tham gia các hoạt động TDTT tổ chức trong năm</t>
  </si>
  <si>
    <t>E</t>
  </si>
  <si>
    <t>Kinh phí tiền điện Truyền thanh - Truyền hình, lệ phí tần số vô tuyến điện</t>
  </si>
  <si>
    <t>Kinh phí biên tập tiếng Xê Đăng</t>
  </si>
  <si>
    <t>F</t>
  </si>
  <si>
    <t>Chi sự nghiệp y tế, dân số và gia đình (Phòng Văn hóa Xã hội)</t>
  </si>
  <si>
    <t>G</t>
  </si>
  <si>
    <t>Sự nghiệp Đảm bảo xã hội (Phòng Văn hóa Xã hội)</t>
  </si>
  <si>
    <t xml:space="preserve">Kinh phí bảo trợ xã hội </t>
  </si>
  <si>
    <t>H</t>
  </si>
  <si>
    <t>Sự nghiệp Kinh tế</t>
  </si>
  <si>
    <t>Sự nghiệp NL-thủy lợi</t>
  </si>
  <si>
    <t>Phòng Kinh tế</t>
  </si>
  <si>
    <t xml:space="preserve">Kinh phí phòng chống lũ bão giảm nhẹ thiên tai </t>
  </si>
  <si>
    <t>Sự nghiệp kinh tế khác</t>
  </si>
  <si>
    <t>Sự nghiệp môi trường và bảo vệ môi trường</t>
  </si>
  <si>
    <t>Phòng Kinh tế (Chi các hoạt động trong lĩnh vực kiểm tra công tác môi trường)</t>
  </si>
  <si>
    <t>J</t>
  </si>
  <si>
    <t>K</t>
  </si>
  <si>
    <t>Kinh phí chi an ninh trật tự an toàn xã hội</t>
  </si>
  <si>
    <t>L</t>
  </si>
  <si>
    <t>M</t>
  </si>
  <si>
    <t>Tỉnh giao</t>
  </si>
  <si>
    <t>HĐND xã giao</t>
  </si>
  <si>
    <t>Tổng chi (A+B)</t>
  </si>
  <si>
    <t>Nguồn vốn đầu tư phát triển</t>
  </si>
  <si>
    <t>DỰ TOÁN CHI NGUỒN BỔ SUNG CÓ MỤC TIÊU NĂM 2026</t>
  </si>
  <si>
    <t>DỰ TOÁN CHI THƯỜNG XUYÊN NGÂN SÁCH XÃ NĂM 2026</t>
  </si>
  <si>
    <t>TỔNG HỢP DỰ TOÁN CHI NGÂN SÁCH ĐỊA PHƯƠNG NĂM 2026</t>
  </si>
  <si>
    <t>Chi từ nguồn thu SDĐ để lại</t>
  </si>
  <si>
    <t>Biểu mẫu số 05</t>
  </si>
  <si>
    <t>Biểu mẫu số 06</t>
  </si>
  <si>
    <t>Biểu mẫu số 07</t>
  </si>
  <si>
    <t>Dự toán còn lại đơn vị được sử dụng</t>
  </si>
  <si>
    <t>2=3+4+5</t>
  </si>
  <si>
    <t>Ban Chỉ huy Quân sự xã</t>
  </si>
  <si>
    <t>Công an xã</t>
  </si>
  <si>
    <t>Dự toán HĐND Tỉnh giao</t>
  </si>
  <si>
    <t>2.3</t>
  </si>
  <si>
    <t>2.4</t>
  </si>
  <si>
    <t>2.5</t>
  </si>
  <si>
    <t>2.6</t>
  </si>
  <si>
    <t>2.7</t>
  </si>
  <si>
    <t>2.8</t>
  </si>
  <si>
    <t>2.9</t>
  </si>
  <si>
    <t>2.10</t>
  </si>
  <si>
    <t>2.11</t>
  </si>
  <si>
    <t>2.12</t>
  </si>
  <si>
    <t>2.13</t>
  </si>
  <si>
    <t>2.14</t>
  </si>
  <si>
    <t>Kinh phí thực hiện hỗ trợ, bồi dưỡng, trợ cấp và các mức chi khác đảm bảo điều kiện hoạt động đối với lực lượng tham gia bảo vệ an ninh (Giao Văn phòng HĐND-UBND xã)</t>
  </si>
  <si>
    <t>Kinh phí thực hiện chính sách hỗ trợ đối với cán bộ, công chức, viên chức, người lao động làm việc tại Bộ phận Một cửa các cấp trên địa bàn tỉnh Quảng Ngãi (Giao Trung tâm Phục vụ Hành chính công)</t>
  </si>
  <si>
    <t>Kinh phí hỗ trợ công tác viên bảo vệ, chăm sóc và giáo dục trẻ em ở thôn, tổ dân phố (Giao Phòng Văn hóa - Xã hội)</t>
  </si>
  <si>
    <t>Kinh phí thù lao chi trả chính sách BTXH (Giao Phòng Văn hóa - Xã hội)</t>
  </si>
  <si>
    <t>Hỗ trợ kinh phí bảo đảm công tác phổ biến, giáo dục pháp luật, chuẩn tiếp cận pháp luật và hòa giải ở cơ sở (Giao Văn phòng HĐND-UBND xã)</t>
  </si>
  <si>
    <t>Hỗ trợ Quyết định số 42 của Tỉnh ủy (Giao Văn phòng Đảng ủy xã)</t>
  </si>
  <si>
    <t>Hỗ trợ phát triển đất trồng lúa (Giao Phòng Kinh tế xã)</t>
  </si>
  <si>
    <t>Kinh phí chuyên trách CNTT theo NĐ 179/2025/NĐCP (Giao Phòng Văn hóa - Xã hội xã)</t>
  </si>
  <si>
    <t>Trợ cấp mai táng phí người có công (Giao Phòng Văn hóa - Xã hội xã)</t>
  </si>
  <si>
    <t>Kinh phí thực hiện chế độ chính sách ưu đãi người có công với cách mạng (Giao Phòng Văn hóa - Xã hội xã)</t>
  </si>
  <si>
    <t>(Chi tiết tại Kế hoạch đầu tư công năm 2026)</t>
  </si>
  <si>
    <t>Chi công tác xã hội (thăm hỏi, tặng quà cán bộ lão thành, người có công, Bà mẹ VNAH..., nhân ngày TBLS 27-7 và các ngày Lễ tết trong năm)</t>
  </si>
  <si>
    <t>Trung tâm cung ứng Dịch vụ công xã</t>
  </si>
  <si>
    <t>Sự nghiệp TT-TH (Trung tâm cung ứng Dịch vụ công xã)</t>
  </si>
  <si>
    <t>Kinh phí thực hiện chúc thọ, mừng thọ người cao tuổi (Giao Phòng Văn hóa - Xã hội xã)</t>
  </si>
  <si>
    <t xml:space="preserve">Chính sách phát triển giáo dục mầm non Nghị định 105/2020/NĐ-CP ngày 08/09/2020 của Chính phủ </t>
  </si>
  <si>
    <t>Học bổng, chi phí học tập cho học sinh khuyết tật theo Thông tư liên tịch số 42/2013/TTLT-BGDĐT-BLĐTBXH-BTC ngày 31/12/2013</t>
  </si>
  <si>
    <t xml:space="preserve">Kinh phí hoạt động các chi hội thôn thuộc tổ chức chính trị xã hội đặc biệt khó khăn </t>
  </si>
  <si>
    <t>Kinh phí thực hiện chính sách hỗ trợ tiền điện hộ nghèo, hộ chính sách xã hội</t>
  </si>
  <si>
    <t xml:space="preserve">Kinh phí chi cho công tác giám sát khảo sát của TT. HĐND, các ban và Tổ Đại biểu của HĐND; Tiếp xúc cử tri theo chương trình tiếp xúc cử tri của HĐND xã; Tiếp công dân </t>
  </si>
  <si>
    <t>Kinh phí tiếp xúc cử tri theo chương trình tiếp xúc cử tri của HĐND xã</t>
  </si>
  <si>
    <t>Kinh phí chi hỗ trợ đại biểu HĐND xã (Hỗ trợ chăm sóc sức khỏe định kỳ, thông tin liên lạc, nghiên cứu tài liệu giám sát, kỳ họp, hỗ trợ tổ trưởng tổ đại biểu, sinh hoạt tổ đại biểu…)</t>
  </si>
  <si>
    <t>Kinh phí hỗ trợ đại biểu HĐND đi học tập kinh nghiệm</t>
  </si>
  <si>
    <t>Kinh phí cho đại biểu HĐND  xã tham gia tập huấn</t>
  </si>
  <si>
    <t xml:space="preserve">Kinh phí tổ chức các kỳ họp HĐND xã  (thường kỳ, chuyên đề, giao ban,...) </t>
  </si>
  <si>
    <t>Kinh phí thăm hỏi ốm đau, trợ cấp khó khăn, đột xuất đại biểu HĐND xã</t>
  </si>
  <si>
    <t>Kinh phí thuê bao đường truyền, bảo trì, vận hành, sửa chữa, máy móc, nâng cấp hệ thống Tabmis</t>
  </si>
  <si>
    <t>Phụ câp cấp ủy</t>
  </si>
  <si>
    <t>Kinh phí hoạt động của BCĐ 35</t>
  </si>
  <si>
    <t>Kinh phí thực hiện cuộc vận động toàn dân đoàn kết KDC</t>
  </si>
  <si>
    <t>Kinh phí thực hiện Cuộc vận động thay đổi nếp nghĩ cách làm ĐB DTTS</t>
  </si>
  <si>
    <t>Kinh phí hỗ trợ hoạt động của Ban thanh tra nhân dân (Giao UBMT TQVN xã)</t>
  </si>
  <si>
    <t>Kinh phí Ban giám sát đầu tư của cộng đồng</t>
  </si>
  <si>
    <t>Kinh phí Tổ hòa giải</t>
  </si>
  <si>
    <t>Kinh phí chi dọn vệ sinh, giặt chăn mền, mùng, chiếu</t>
  </si>
  <si>
    <t>Kinh phí chi chăm sóc cây xanh, cải tạo khuôn viên</t>
  </si>
  <si>
    <t>03</t>
  </si>
  <si>
    <t>Kinh phí Ban Chỉ đạo công tác Tôn giáo</t>
  </si>
  <si>
    <t>Kinh phí sửa chữa nhỏ máy móc, thiết bị, hệ thống phát thanh, âm thanh, sánh sáng,...…</t>
  </si>
  <si>
    <t>Kinh phí thực hiện các hoạt động: quay phim, biên tập, …</t>
  </si>
  <si>
    <t>Kinh phí triển khai các hoạt động phối hợp Đài TTTH tỉnh và các đơn vị liên quan</t>
  </si>
  <si>
    <t>Kinh phí các hoạt động văn hóa, văn nghệ (bao gồm các hoạt động văn hóa, văn nghệ phục vụ các ngày lễ, hội nghị lớn do xã tổ chức và tham gia các hoạt động văn hóa, văn nghệ do cấp tỉnh tổ chức)</t>
  </si>
  <si>
    <t>Kinh phí tổ chức Hội thi, liên hoan cồng chiêng,, mua xoang, phục dựng lễ hội truyền  thống Xơ Đăng…</t>
  </si>
  <si>
    <t>Kinh phí chi làm mới, in ấn các khung, pa nô,... tuyên truyền, lễ hội</t>
  </si>
  <si>
    <t>Kinh phí xăng, bảo hiểm, đăng kiểm và sửa chữa nhỏ xe ô tô thường xuyên</t>
  </si>
  <si>
    <t>Kinh phí cho công tác tuyên truyền, hội thảo, tập huấn kỹ thuật cây trồng, vật nuôi</t>
  </si>
  <si>
    <t>Kinh phí cho công tác chăn nuôi và thú y, Bảo vệ thực vật</t>
  </si>
  <si>
    <t>Kinh phí tăng cường khuyến nông, khuyến lâm</t>
  </si>
  <si>
    <t>Kinh phí dịch vụ trồng và quản lý chăm sóc cây xanh, hoa cảnh vỉa hè,…</t>
  </si>
  <si>
    <t xml:space="preserve">Kinh phí dịch vụ thu gom, phân loại, vận  chuyển, nhiên liệu, xử lý chất thải </t>
  </si>
  <si>
    <t>Kinh phí quản lý, vệ sinh hội trường chung</t>
  </si>
  <si>
    <t>Kinh phí hoạt nhà máy nước, xử lý nước sinh hoạt</t>
  </si>
  <si>
    <t>Sự nghiệp giao thông (Phòng Kinh tế: Kinh phí kiểm tra an toàn hành lang đường bộ, kiểm tra các công trình xây dựng trên địa bàn, nạo vét, sửa chữa nhỏ các tuyến đường trên địa bàn quản lý,…)</t>
  </si>
  <si>
    <t>Kinh phí Tổ xúc tiến đầu tư và Kinh phí kinh doanh</t>
  </si>
  <si>
    <t>Kinh phí gặp mặt đối thoại DN, HTX, hộ kinh doanh và đánh giá chỉ số DDCI</t>
  </si>
  <si>
    <t xml:space="preserve">Kinh phí gian hàng trưng bày sản phẩm địa phương, sản phẩm OCOP </t>
  </si>
  <si>
    <t>Khuyến công</t>
  </si>
  <si>
    <t>Kinh phí hỗ trợ thực hiện công tác kiểm tra chất lượng hàng hóa</t>
  </si>
  <si>
    <t>Hỗ trợ tham gia đại hội thể dục thể thao cấp tỉnh (Giao Trung tâm cung ứng Dịch vụ công xã)</t>
  </si>
  <si>
    <t>Chi huấn luyện hàng năm</t>
  </si>
  <si>
    <t>Chi cho các hoạt động khám nghĩa vụ quân sự hàng năm</t>
  </si>
  <si>
    <t>Kinh phí thực hiện công tác kiểm soát TTHC: Một cửa điện tử, chữ ký số</t>
  </si>
  <si>
    <t>Tuyên truyền: CCTTHC</t>
  </si>
  <si>
    <t>Kinh phí làm vườn ươm cây cà phê</t>
  </si>
  <si>
    <t>Kinh phí cước internet, tiền điện tại chợ Trung tâm</t>
  </si>
  <si>
    <t>Phòng Văn hóa xã hội (Nhân viên Y tế thôn)</t>
  </si>
  <si>
    <t>Văn phòng Đảng ủy xã (Bí thư chi bộ thôn)</t>
  </si>
  <si>
    <t>Phòng Văn hóa  - Xã hội (Kinh phí thực hiện các hoạt động chuyên môn của ngành)</t>
  </si>
  <si>
    <t>Kinh phí tiêm phòng dịch bệnh gia súc, gia cầm, khử trùng tiêu độc,… trên địa bàn xã</t>
  </si>
  <si>
    <t>Kinh phí các hoạt động của Hội</t>
  </si>
  <si>
    <t>BẢNG TỔNG HỢP HỆ SỐ TỈNH TIỀN LƯƠNG, PHỤ CẤP VÀ CÁC KHOẢN ĐÓNG GÓP</t>
  </si>
  <si>
    <t>(Kèm theo Công văn số  …./UBND ngày .../9/2025 của Ủy ban nhân dân xã Tu Mơ Rông)</t>
  </si>
  <si>
    <t>Đơn vị: Triệu đồng</t>
  </si>
  <si>
    <t>NỘI DUNG</t>
  </si>
  <si>
    <t>Biên chế được giao năm 2025</t>
  </si>
  <si>
    <t>Số biên chế có mặt đến ngày 01/9/2025</t>
  </si>
  <si>
    <t xml:space="preserve"> QUỸ TIỀN LƯƠNG, PHỤ CẤP VÀ CÁC KHOẢN ĐÓNG GÓP THÁNG 9/2025
 THEO NGHỊ ĐỊNH SỐ 73/2024/NĐ-CP</t>
  </si>
  <si>
    <t>Quỹ tiền lương, phụ cấp và các khoản đóng góp tháng 9/2025</t>
  </si>
  <si>
    <t>Tổng cọng</t>
  </si>
  <si>
    <t>Hệ số theo ngạch bậc</t>
  </si>
  <si>
    <t>Tổng hệ số phụ cấp</t>
  </si>
  <si>
    <t>Hệ số phụ cấp khác</t>
  </si>
  <si>
    <t>Các khoản đóng BHXH, BHYT</t>
  </si>
  <si>
    <t>Hệ số phụ cấp khu vực</t>
  </si>
  <si>
    <t>Hệ số phụ cấp chức vụ</t>
  </si>
  <si>
    <t>Hệ số phụ cấp TNVK</t>
  </si>
  <si>
    <t xml:space="preserve">Phụ cấp ưu đãi ngành </t>
  </si>
  <si>
    <t xml:space="preserve">Phụ cấp thu hút </t>
  </si>
  <si>
    <t>Hệ số phụ cấp lâu năm</t>
  </si>
  <si>
    <t xml:space="preserve">Phụ cấp công vụ </t>
  </si>
  <si>
    <t xml:space="preserve">Phụ cấp công tác Đảng </t>
  </si>
  <si>
    <t>Phụ cấp thâm niên nghề</t>
  </si>
  <si>
    <t>Tỷ lệ</t>
  </si>
  <si>
    <t>Phụ cấp TNVK</t>
  </si>
  <si>
    <t>Tỷ lệ (%)</t>
  </si>
  <si>
    <t>Phụ cấp ưu đãi ngành</t>
  </si>
  <si>
    <t xml:space="preserve">Tỷ lệ </t>
  </si>
  <si>
    <t>Phụ cấp công vụ</t>
  </si>
  <si>
    <t>phụ cấp thâm niên nghề</t>
  </si>
  <si>
    <t>Hệ số đóng BHXH, BHYT</t>
  </si>
  <si>
    <t>2</t>
  </si>
  <si>
    <t>5 = 6 + 7 + 24</t>
  </si>
  <si>
    <t>7= 8+9+11+13+15+16+18+20+22+23</t>
  </si>
  <si>
    <t>11=10x(6+9)</t>
  </si>
  <si>
    <t>13=12x(6+9+11)</t>
  </si>
  <si>
    <t>15=14x(6+9+11)</t>
  </si>
  <si>
    <t>18=17x(6+9+11)</t>
  </si>
  <si>
    <t>20=19x(6+9+11)</t>
  </si>
  <si>
    <t>22=21x(6+9+11)</t>
  </si>
  <si>
    <t>25=24x(6+9+11+22)</t>
  </si>
  <si>
    <t>26=5x2,34</t>
  </si>
  <si>
    <t>TỔNG CỘNG (I+II+III+IV)</t>
  </si>
  <si>
    <t>KHU VỰC HCSN, ĐẢNG, ĐOÀN THỂ (3)</t>
  </si>
  <si>
    <t>Gồm:</t>
  </si>
  <si>
    <t xml:space="preserve">Sự nghiệp giáo dục - đào tạo </t>
  </si>
  <si>
    <t xml:space="preserve">- Giáo dục: </t>
  </si>
  <si>
    <t>Trường Tiểu học Kim Đồng</t>
  </si>
  <si>
    <t>Hồ Thị Thùy Vân</t>
  </si>
  <si>
    <t>1.2</t>
  </si>
  <si>
    <t>Phan Thị Kim Chi</t>
  </si>
  <si>
    <t>1.3</t>
  </si>
  <si>
    <t>Phạm Văn Hùng</t>
  </si>
  <si>
    <t>1.4</t>
  </si>
  <si>
    <t>Nguyễn Văn Hân</t>
  </si>
  <si>
    <t>1.5</t>
  </si>
  <si>
    <t>Nguyễn Thị Trầm</t>
  </si>
  <si>
    <t>1.6</t>
  </si>
  <si>
    <t>Phan Thị Hồng Luyến</t>
  </si>
  <si>
    <t>1.7</t>
  </si>
  <si>
    <t>Nguyễn Hoàng Thạch</t>
  </si>
  <si>
    <t>1.8</t>
  </si>
  <si>
    <t>Lê Thị Ngọc</t>
  </si>
  <si>
    <t>1.9</t>
  </si>
  <si>
    <t>Y Yến</t>
  </si>
  <si>
    <t>1.10</t>
  </si>
  <si>
    <t>Hoàng Thị Kim Oanh</t>
  </si>
  <si>
    <t>1.11</t>
  </si>
  <si>
    <t>Phan Hồng Thắng</t>
  </si>
  <si>
    <t>1.12</t>
  </si>
  <si>
    <t>Đinh Thị Trang</t>
  </si>
  <si>
    <t>1.13</t>
  </si>
  <si>
    <t>A Dung</t>
  </si>
  <si>
    <t>1.14</t>
  </si>
  <si>
    <t>Nguyễn Dương Quí</t>
  </si>
  <si>
    <t>1.15</t>
  </si>
  <si>
    <t>Nguyễn Thị Kim Thủy</t>
  </si>
  <si>
    <t>1.16</t>
  </si>
  <si>
    <t>Hoàng Thị Thu</t>
  </si>
  <si>
    <t>1.17</t>
  </si>
  <si>
    <t>Đào Thị Thanh Tâm</t>
  </si>
  <si>
    <t>1.18</t>
  </si>
  <si>
    <t>Lê Thị Duyên</t>
  </si>
  <si>
    <t>1.19</t>
  </si>
  <si>
    <t>Lê Tấn Ty</t>
  </si>
  <si>
    <t>1.20</t>
  </si>
  <si>
    <t>Y Diệu Hiến</t>
  </si>
  <si>
    <t>1.21</t>
  </si>
  <si>
    <t>Dương Thị Kiều</t>
  </si>
  <si>
    <t>1.22</t>
  </si>
  <si>
    <t>Luyện Thị Vinh</t>
  </si>
  <si>
    <t>1.23</t>
  </si>
  <si>
    <t>Lại Hữu Hưng</t>
  </si>
  <si>
    <t>1.24</t>
  </si>
  <si>
    <t>Nguyễn Thị Tường Vi</t>
  </si>
  <si>
    <t>Nghỉ thai sản</t>
  </si>
  <si>
    <t>1.25</t>
  </si>
  <si>
    <t>Trần Nguyễn Trúc Hà</t>
  </si>
  <si>
    <t>1.26</t>
  </si>
  <si>
    <t>Y Cẩm Ly</t>
  </si>
  <si>
    <t>1.27</t>
  </si>
  <si>
    <t>A Duy</t>
  </si>
  <si>
    <t>1.28</t>
  </si>
  <si>
    <t>Hứa Thị Duyên</t>
  </si>
  <si>
    <t>1.29</t>
  </si>
  <si>
    <t>A Anh</t>
  </si>
  <si>
    <t>1.30</t>
  </si>
  <si>
    <t>Y Đá</t>
  </si>
  <si>
    <t>1.31</t>
  </si>
  <si>
    <t>Nông Thị Tuyết</t>
  </si>
  <si>
    <t>1.32</t>
  </si>
  <si>
    <t>Nay Y Hoàng</t>
  </si>
  <si>
    <t>1.33</t>
  </si>
  <si>
    <t>A Xê</t>
  </si>
  <si>
    <t>1.34</t>
  </si>
  <si>
    <t>A Văn</t>
  </si>
  <si>
    <t>1.35</t>
  </si>
  <si>
    <t>A Bung</t>
  </si>
  <si>
    <t>1.36</t>
  </si>
  <si>
    <t>Lê Tấn Thức</t>
  </si>
  <si>
    <t>1.37</t>
  </si>
  <si>
    <t>Nguyễn Thị Mai Hương</t>
  </si>
  <si>
    <t>1.38</t>
  </si>
  <si>
    <t>Phạm Tuyết Ngân</t>
  </si>
  <si>
    <t>1.39</t>
  </si>
  <si>
    <t>Hoàng Thị Vương</t>
  </si>
  <si>
    <t>1.40</t>
  </si>
  <si>
    <t>Nguyễn Hoàng Long</t>
  </si>
  <si>
    <t>1.41</t>
  </si>
  <si>
    <t>Lê Thị Kim Loan</t>
  </si>
  <si>
    <t>1.42</t>
  </si>
  <si>
    <t>Tô Thị Kim Hồng</t>
  </si>
  <si>
    <t>1.43</t>
  </si>
  <si>
    <t>Chu Đình Châu</t>
  </si>
  <si>
    <t>1.44</t>
  </si>
  <si>
    <t>Trần Thị Hiền</t>
  </si>
  <si>
    <t>1.45</t>
  </si>
  <si>
    <t>Nguyễn Thị Hồng Gấm</t>
  </si>
  <si>
    <t>1.46</t>
  </si>
  <si>
    <t>Võ Thị Kim Nhung (BC chưa tuyển)</t>
  </si>
  <si>
    <t>1.47</t>
  </si>
  <si>
    <t>Nông Thị Hậu (BC chưa tuyển)</t>
  </si>
  <si>
    <t>1.48</t>
  </si>
  <si>
    <t>Mạc Thị Lệ (BC chưa tuyển)</t>
  </si>
  <si>
    <t>1.49</t>
  </si>
  <si>
    <t>Y Hoài Linh (BC chưa tuyển)</t>
  </si>
  <si>
    <t>1.50</t>
  </si>
  <si>
    <t>Nguyễn Thị Như Quỳnh (BC chưa tuyển)</t>
  </si>
  <si>
    <t>1.51</t>
  </si>
  <si>
    <t>Lâm Thị Kiều Vy (BC chưa tuyển)</t>
  </si>
  <si>
    <t>Trường PTDT BT TH-THCS xã Tu Mơ Rông</t>
  </si>
  <si>
    <t>Nguyễn Ngọc Huynh</t>
  </si>
  <si>
    <t>Dương Văn Nam</t>
  </si>
  <si>
    <t>Đỗ Minh Hoàng</t>
  </si>
  <si>
    <t>A Đeo</t>
  </si>
  <si>
    <t>Phạm Đình Dũng</t>
  </si>
  <si>
    <t>Võ Thị Bích</t>
  </si>
  <si>
    <t>Phan Thị Thanh Tuyền</t>
  </si>
  <si>
    <t>Nguyễn Hoàng Mai Linh</t>
  </si>
  <si>
    <t>Vũ Hùng Vỹ</t>
  </si>
  <si>
    <t>Thái Quốc Nhật</t>
  </si>
  <si>
    <t>Cao Thị Hà</t>
  </si>
  <si>
    <t>Nguyễn Thị Ánh Linh</t>
  </si>
  <si>
    <t>Nguyễn Thị Cúc</t>
  </si>
  <si>
    <t>Nguyễn Thị Thủy</t>
  </si>
  <si>
    <t>2.15</t>
  </si>
  <si>
    <t>Nguyễn Tấn Lộc</t>
  </si>
  <si>
    <t>2.16</t>
  </si>
  <si>
    <t>Lương Bích Ngọc</t>
  </si>
  <si>
    <t>2.17</t>
  </si>
  <si>
    <t>Kin</t>
  </si>
  <si>
    <t>2.18</t>
  </si>
  <si>
    <t>A Beng</t>
  </si>
  <si>
    <t>2.19</t>
  </si>
  <si>
    <t>A Phiên</t>
  </si>
  <si>
    <t>2.20</t>
  </si>
  <si>
    <t>A Hỷ</t>
  </si>
  <si>
    <t>2.21</t>
  </si>
  <si>
    <t>Nguyễn Viết Tri</t>
  </si>
  <si>
    <t>2.22</t>
  </si>
  <si>
    <t>Trần Thị Nga</t>
  </si>
  <si>
    <t>2.23</t>
  </si>
  <si>
    <t>Lò Văn Tôn</t>
  </si>
  <si>
    <t>2.24</t>
  </si>
  <si>
    <t>Phạm Thị Ngọc Ánh</t>
  </si>
  <si>
    <t>2.25</t>
  </si>
  <si>
    <t>Y Nhớ</t>
  </si>
  <si>
    <t>2.26</t>
  </si>
  <si>
    <t>A Thin</t>
  </si>
  <si>
    <t>2.27</t>
  </si>
  <si>
    <t>Y Nga</t>
  </si>
  <si>
    <t>2.28</t>
  </si>
  <si>
    <t>2.29</t>
  </si>
  <si>
    <t>Nguyễn Thị Thanh Huệ</t>
  </si>
  <si>
    <t>2.30</t>
  </si>
  <si>
    <t>Nguyễn Thị Lan Anh</t>
  </si>
  <si>
    <t>2.31</t>
  </si>
  <si>
    <t>Nguyễn Thị Minh Gia</t>
  </si>
  <si>
    <t>2.32</t>
  </si>
  <si>
    <t>Nguyễn Tuấn Anh</t>
  </si>
  <si>
    <t>2.33</t>
  </si>
  <si>
    <t>Biên chế dự phòng (03 người)</t>
  </si>
  <si>
    <t>Trường Mầm non Hoa Pơ Lang</t>
  </si>
  <si>
    <t>3.1</t>
  </si>
  <si>
    <t>Dương Thị Ánh Thuý</t>
  </si>
  <si>
    <t>3.2</t>
  </si>
  <si>
    <t>Bùi Thị Thuyên</t>
  </si>
  <si>
    <t>3.3</t>
  </si>
  <si>
    <t>Nguyễn Thị Nguyệt</t>
  </si>
  <si>
    <t>3.4</t>
  </si>
  <si>
    <t>Võ Thị Bích Thủy</t>
  </si>
  <si>
    <t>3.5</t>
  </si>
  <si>
    <t>Y Thiết</t>
  </si>
  <si>
    <t>3.6</t>
  </si>
  <si>
    <t>Y Sen</t>
  </si>
  <si>
    <t>3.7</t>
  </si>
  <si>
    <t>Y Phượng</t>
  </si>
  <si>
    <t>3.8</t>
  </si>
  <si>
    <t>Y Diễn</t>
  </si>
  <si>
    <t>3.9</t>
  </si>
  <si>
    <t>Nguyễn Thị Lượng</t>
  </si>
  <si>
    <t>Nghỉ sinh</t>
  </si>
  <si>
    <t>3.10</t>
  </si>
  <si>
    <t>Nguyễn Thị Hà</t>
  </si>
  <si>
    <t>3.11</t>
  </si>
  <si>
    <t>Nguyễn Thị Thanh Lệ</t>
  </si>
  <si>
    <t>3.12</t>
  </si>
  <si>
    <t>Nguyễn Thị Hiền</t>
  </si>
  <si>
    <t>3.13</t>
  </si>
  <si>
    <t>Nguyễn Thị Liên</t>
  </si>
  <si>
    <t>3.14</t>
  </si>
  <si>
    <t>Y Ngọc</t>
  </si>
  <si>
    <t>3.15</t>
  </si>
  <si>
    <t>Y Mem</t>
  </si>
  <si>
    <t>3.16</t>
  </si>
  <si>
    <t>Y Quân</t>
  </si>
  <si>
    <t>3.17</t>
  </si>
  <si>
    <t>Y Nhan</t>
  </si>
  <si>
    <t>3.18</t>
  </si>
  <si>
    <t>Y Doanh</t>
  </si>
  <si>
    <t>3.19</t>
  </si>
  <si>
    <t>Hoàng Thị Minh Truyền</t>
  </si>
  <si>
    <t>3.20</t>
  </si>
  <si>
    <t>Y Nanh</t>
  </si>
  <si>
    <t>3.21</t>
  </si>
  <si>
    <t>Y Lan</t>
  </si>
  <si>
    <t>3.22</t>
  </si>
  <si>
    <t>Y Phết</t>
  </si>
  <si>
    <t>3.23</t>
  </si>
  <si>
    <t>Y Như Quỳnh</t>
  </si>
  <si>
    <t>3.24</t>
  </si>
  <si>
    <t>Y Hoài Đào</t>
  </si>
  <si>
    <t>3.25</t>
  </si>
  <si>
    <t>Mai Thị Kim Lý</t>
  </si>
  <si>
    <t>3.26</t>
  </si>
  <si>
    <t>Y Linh</t>
  </si>
  <si>
    <t>3.27</t>
  </si>
  <si>
    <t xml:space="preserve">Y Hoài </t>
  </si>
  <si>
    <t>3.28</t>
  </si>
  <si>
    <t>Y Lia</t>
  </si>
  <si>
    <t>3.29</t>
  </si>
  <si>
    <t>Y Dao</t>
  </si>
  <si>
    <t>3.30</t>
  </si>
  <si>
    <t>Y Gút</t>
  </si>
  <si>
    <t>3.31</t>
  </si>
  <si>
    <t>Y Liên</t>
  </si>
  <si>
    <t>3.32</t>
  </si>
  <si>
    <t>Y Đăng</t>
  </si>
  <si>
    <t>3.33</t>
  </si>
  <si>
    <t>Y Sơ</t>
  </si>
  <si>
    <t>3.34</t>
  </si>
  <si>
    <t>Y Dương</t>
  </si>
  <si>
    <t>3.35</t>
  </si>
  <si>
    <t>Nguyễn Thị Phương Chi</t>
  </si>
  <si>
    <t>3.36</t>
  </si>
  <si>
    <t>Hoàng Thị Thanh</t>
  </si>
  <si>
    <t>3.37</t>
  </si>
  <si>
    <t>Nguyễn Xuân Sơn</t>
  </si>
  <si>
    <t>3.38</t>
  </si>
  <si>
    <t>Y Chung</t>
  </si>
  <si>
    <t>3.39</t>
  </si>
  <si>
    <t>Y Siu Nhang</t>
  </si>
  <si>
    <t>3.40</t>
  </si>
  <si>
    <t>Y Đeo</t>
  </si>
  <si>
    <t>3.41</t>
  </si>
  <si>
    <t>Phạm Thị Yến</t>
  </si>
  <si>
    <t>3.42</t>
  </si>
  <si>
    <t>Vũ Thị Thu</t>
  </si>
  <si>
    <t>3.43</t>
  </si>
  <si>
    <t>Phan Thị Luyến</t>
  </si>
  <si>
    <t>Trường Mầm non xã Tu Mơ Rông</t>
  </si>
  <si>
    <t>4.1</t>
  </si>
  <si>
    <t>Trần Thị Dần</t>
  </si>
  <si>
    <t>4.2</t>
  </si>
  <si>
    <t>Bùi Thị Da</t>
  </si>
  <si>
    <t>4.3</t>
  </si>
  <si>
    <t>Nguyễn Thị Thu</t>
  </si>
  <si>
    <t>4.4</t>
  </si>
  <si>
    <t>Nguyễn Thị Lệ Nhung</t>
  </si>
  <si>
    <t>4.5</t>
  </si>
  <si>
    <t>Y Bun</t>
  </si>
  <si>
    <t>4.6</t>
  </si>
  <si>
    <t>Y Rằng</t>
  </si>
  <si>
    <t>4.7</t>
  </si>
  <si>
    <t>Ma Thị Hồng</t>
  </si>
  <si>
    <t>4.8</t>
  </si>
  <si>
    <t>Y Lý</t>
  </si>
  <si>
    <t>4.9</t>
  </si>
  <si>
    <t>Y Hạnh</t>
  </si>
  <si>
    <t>4.10</t>
  </si>
  <si>
    <t>Y Dán</t>
  </si>
  <si>
    <t>4.11</t>
  </si>
  <si>
    <t>Y Liềm</t>
  </si>
  <si>
    <t>4.12</t>
  </si>
  <si>
    <t>Y Thúy</t>
  </si>
  <si>
    <t>4.13</t>
  </si>
  <si>
    <t>Y Thíu</t>
  </si>
  <si>
    <t>4.14</t>
  </si>
  <si>
    <t>Y Xáo</t>
  </si>
  <si>
    <t>4.15</t>
  </si>
  <si>
    <t>Nguyễn Thị Lệ Huyên</t>
  </si>
  <si>
    <t>4.16</t>
  </si>
  <si>
    <t>Ngô Văn Tuấn</t>
  </si>
  <si>
    <t>Trường PTDT BT THCS KPă KLơng</t>
  </si>
  <si>
    <t>5.1</t>
  </si>
  <si>
    <t>Trần Mạnh Thùy</t>
  </si>
  <si>
    <t>5.2</t>
  </si>
  <si>
    <t>Chu Thị Thủy</t>
  </si>
  <si>
    <t>5.3</t>
  </si>
  <si>
    <t>Lương Văn Thái</t>
  </si>
  <si>
    <t>5.4</t>
  </si>
  <si>
    <t>Nguyễn Lương Dũng</t>
  </si>
  <si>
    <t>5.5</t>
  </si>
  <si>
    <t>Đinh Thị Ngàn</t>
  </si>
  <si>
    <t>5.6</t>
  </si>
  <si>
    <t>Bùi Thị Cảnh</t>
  </si>
  <si>
    <t>5.7</t>
  </si>
  <si>
    <t>Vũ Thị Hoàng Gia</t>
  </si>
  <si>
    <t>5.8</t>
  </si>
  <si>
    <t>Nguyễn Thị Hồng Nhi</t>
  </si>
  <si>
    <t>5.9</t>
  </si>
  <si>
    <t>Nguyễn Thanh Quang</t>
  </si>
  <si>
    <t>5.10</t>
  </si>
  <si>
    <t>Nguyễn Lê Trường An</t>
  </si>
  <si>
    <t>5.11</t>
  </si>
  <si>
    <t>Nguyễn Thị Thu Hà</t>
  </si>
  <si>
    <t>5.12</t>
  </si>
  <si>
    <t>Lê Đức Diện</t>
  </si>
  <si>
    <t>5.13</t>
  </si>
  <si>
    <t>Vũ Trọng Sức</t>
  </si>
  <si>
    <t>5.14</t>
  </si>
  <si>
    <t>Hồ Duy Phiên</t>
  </si>
  <si>
    <t>5.15</t>
  </si>
  <si>
    <t>Huỳnh Quốc Tân</t>
  </si>
  <si>
    <t>5.16</t>
  </si>
  <si>
    <t>Nguyễn Thị Bích Nhi</t>
  </si>
  <si>
    <t>5.17</t>
  </si>
  <si>
    <t>Lê Thị Hoài Thương</t>
  </si>
  <si>
    <t>5.18</t>
  </si>
  <si>
    <t>Võ Thị Hoa</t>
  </si>
  <si>
    <t>5.19</t>
  </si>
  <si>
    <t>Nguyễn Thị Hòa</t>
  </si>
  <si>
    <t>5.20</t>
  </si>
  <si>
    <t>Lê Thị Mỹ Lệ</t>
  </si>
  <si>
    <t>5.21</t>
  </si>
  <si>
    <t>Y Tôm</t>
  </si>
  <si>
    <t>5.22</t>
  </si>
  <si>
    <t>Nguyễn Văn Tám</t>
  </si>
  <si>
    <t>5.23</t>
  </si>
  <si>
    <t>Lê Thị Ngân</t>
  </si>
  <si>
    <t>5.24</t>
  </si>
  <si>
    <t>Y Bẽ</t>
  </si>
  <si>
    <t>5.25</t>
  </si>
  <si>
    <t>Nguyễn Thị Hoài Thương</t>
  </si>
  <si>
    <t>5.26</t>
  </si>
  <si>
    <t>Phan Thị Hương Hoa</t>
  </si>
  <si>
    <t>5.27</t>
  </si>
  <si>
    <t>Trương Thị Diễm Hương</t>
  </si>
  <si>
    <t>5.28</t>
  </si>
  <si>
    <t>Nguyễn Lan Hương</t>
  </si>
  <si>
    <t>5.29</t>
  </si>
  <si>
    <t>Ngân Thị Hương</t>
  </si>
  <si>
    <t>5.30</t>
  </si>
  <si>
    <t>Nguyễn Tô Trang</t>
  </si>
  <si>
    <t>5.31</t>
  </si>
  <si>
    <t>Bùi Thị Mỹ Huyền</t>
  </si>
  <si>
    <t>5.32</t>
  </si>
  <si>
    <t>Y Quyền</t>
  </si>
  <si>
    <t>5.33</t>
  </si>
  <si>
    <t>Nguyễn Văn Thái</t>
  </si>
  <si>
    <t>5.34</t>
  </si>
  <si>
    <t>Nguyễn Quốc Việt</t>
  </si>
  <si>
    <t>5.35</t>
  </si>
  <si>
    <t>Đỗ Thị Thúy Nga</t>
  </si>
  <si>
    <t>5.36</t>
  </si>
  <si>
    <t>Lê Nguyễn Công Nguyên</t>
  </si>
  <si>
    <t>5.37</t>
  </si>
  <si>
    <t>Võ Thị Yến Nhi</t>
  </si>
  <si>
    <t>5.38</t>
  </si>
  <si>
    <t>Nguyễn Thị Thùy Liên</t>
  </si>
  <si>
    <t>5.39</t>
  </si>
  <si>
    <t>Phan Hoài Nam</t>
  </si>
  <si>
    <t>5.40</t>
  </si>
  <si>
    <t>Phạm Thị Lệ</t>
  </si>
  <si>
    <t>5.41</t>
  </si>
  <si>
    <t>Nguyễn Thị Minh Ngọc</t>
  </si>
  <si>
    <t>5.42</t>
  </si>
  <si>
    <t>Nguyễn Xuân Quang</t>
  </si>
  <si>
    <t>5.43</t>
  </si>
  <si>
    <t>Y Thuen</t>
  </si>
  <si>
    <t>5.44</t>
  </si>
  <si>
    <t>Lê Thị Lệ</t>
  </si>
  <si>
    <t>5.45</t>
  </si>
  <si>
    <t>- Đào tạo</t>
  </si>
  <si>
    <t>Đơn vị …</t>
  </si>
  <si>
    <t>Sự nghiệp y tế</t>
  </si>
  <si>
    <t>Sự nghiệp khoa học-công nghệ</t>
  </si>
  <si>
    <t>Sự nghiệp văn hoá thông tin</t>
  </si>
  <si>
    <t>Huỳnh Thị Ngọc Lành</t>
  </si>
  <si>
    <t>Biên chế dự phòng (chưa tuyển)</t>
  </si>
  <si>
    <t>Sự nghiệp phát thanh truyền hình</t>
  </si>
  <si>
    <t>Nguyễn Văn Sai</t>
  </si>
  <si>
    <t>Hà Văn Xiên</t>
  </si>
  <si>
    <t>TSìn Văn Quốc Tuấn</t>
  </si>
  <si>
    <t>A Hem</t>
  </si>
  <si>
    <t>Hoàng Thị Thương</t>
  </si>
  <si>
    <t>Bĕ</t>
  </si>
  <si>
    <t>Y Thái</t>
  </si>
  <si>
    <t>Bloong Lương</t>
  </si>
  <si>
    <t>Sự nghiệp thể dục - thể thao</t>
  </si>
  <si>
    <t>Sự nghiệp đảm bảo xã hội</t>
  </si>
  <si>
    <t>Các hoạt động kinh tế</t>
  </si>
  <si>
    <t>Trung tâm Dịch vụ NN</t>
  </si>
  <si>
    <t>A Niêm</t>
  </si>
  <si>
    <t>A Lum</t>
  </si>
  <si>
    <t>Đoàn Năng Mạnh</t>
  </si>
  <si>
    <t>Sự nghiệp bảo vệ môi trường</t>
  </si>
  <si>
    <t>Quản lý nhà nước, đảng, đoàn thể</t>
  </si>
  <si>
    <t>- Quản lý NN</t>
  </si>
  <si>
    <t>Văn phòng HĐND và UBND</t>
  </si>
  <si>
    <t>A Hòa</t>
  </si>
  <si>
    <t>Y Bôi</t>
  </si>
  <si>
    <t>Y Điều</t>
  </si>
  <si>
    <t>Đặng Phương Nam</t>
  </si>
  <si>
    <t>Trần Quốc Huy</t>
  </si>
  <si>
    <t>Dương Đăng Khoa</t>
  </si>
  <si>
    <t>Nguyễn Bá Thành</t>
  </si>
  <si>
    <t>Tiêu Viết Trinh</t>
  </si>
  <si>
    <t>Nguyễn Trung Thành</t>
  </si>
  <si>
    <t>Nông Thị Hạnh</t>
  </si>
  <si>
    <t>Nguyễn Thị Bích Phượng</t>
  </si>
  <si>
    <t>Nghĩ thai sản</t>
  </si>
  <si>
    <t>Nguyển Thị Thu Hải</t>
  </si>
  <si>
    <t>A Lâng</t>
  </si>
  <si>
    <t>Chu Quốc Tiến</t>
  </si>
  <si>
    <t>A Sếp</t>
  </si>
  <si>
    <t>A Ly</t>
  </si>
  <si>
    <t>Nguyễn Thuận Hoá</t>
  </si>
  <si>
    <t>Huỳnh Tấn Kiệt</t>
  </si>
  <si>
    <t>Hoàng Đăng Khoa</t>
  </si>
  <si>
    <t>Đinh Thị Quỳnh Trang</t>
  </si>
  <si>
    <t>Nguyễn Đình Tý</t>
  </si>
  <si>
    <t>Y Binh</t>
  </si>
  <si>
    <t>Trần Thị Mỹ Hiếu</t>
  </si>
  <si>
    <t>Phạm Văn Xuân</t>
  </si>
  <si>
    <t>Y Oanh</t>
  </si>
  <si>
    <t>Nguyễn Văn Tiến</t>
  </si>
  <si>
    <t>Y Thu</t>
  </si>
  <si>
    <t>Trần Thị Huyền</t>
  </si>
  <si>
    <t>Nguyễn Thanh Hương</t>
  </si>
  <si>
    <t>Biên chế chưa tuyển</t>
  </si>
  <si>
    <t>Trung tâm phục vụ Hành chính công</t>
  </si>
  <si>
    <t>Phạm Hồng Huy</t>
  </si>
  <si>
    <t>Võ Đình Ban</t>
  </si>
  <si>
    <t>Mai Thị Thu Hường</t>
  </si>
  <si>
    <t>Y Nhi</t>
  </si>
  <si>
    <t>Hồ Ngọc Hải</t>
  </si>
  <si>
    <t>Tô Thị Lan Hương</t>
  </si>
  <si>
    <t>- Đảng, đoàn thể</t>
  </si>
  <si>
    <t xml:space="preserve">Văn phòng Đảng ủy </t>
  </si>
  <si>
    <t>Võ Trung Mạnh</t>
  </si>
  <si>
    <t>A Rin Ka</t>
  </si>
  <si>
    <t>Phan Hồng Phương</t>
  </si>
  <si>
    <t>Nguyễn Thị Hương</t>
  </si>
  <si>
    <t>Lương Thị Thành</t>
  </si>
  <si>
    <t>Lê Thái Lam</t>
  </si>
  <si>
    <t>Y Si</t>
  </si>
  <si>
    <t>Y Hy</t>
  </si>
  <si>
    <t>A Lời</t>
  </si>
  <si>
    <t>Lê Văn Hoàng</t>
  </si>
  <si>
    <t>Phan Thanh Cường</t>
  </si>
  <si>
    <t>Huỳnh Thanh Nam</t>
  </si>
  <si>
    <t>Đặng Thị Thu Hiền</t>
  </si>
  <si>
    <t>Doãn Thanh Tài</t>
  </si>
  <si>
    <t>Lê Thị Thúy Vân</t>
  </si>
  <si>
    <t>Y Kim Sang</t>
  </si>
  <si>
    <t>Lương Dương Thanh</t>
  </si>
  <si>
    <t>Y Hoa</t>
  </si>
  <si>
    <t>Nguyễn Thị Minh Tâm</t>
  </si>
  <si>
    <t>Phạm Như Toàn</t>
  </si>
  <si>
    <t>UBNMTTQ Việt Nam xã</t>
  </si>
  <si>
    <t>Y Thi</t>
  </si>
  <si>
    <t>Lâm Văn Chính</t>
  </si>
  <si>
    <t>Y Dung</t>
  </si>
  <si>
    <t>Nguyễn Tăng Thành</t>
  </si>
  <si>
    <t>A Gai</t>
  </si>
  <si>
    <t>Y Diệu Khánh</t>
  </si>
  <si>
    <t>Trần Thị Phúc</t>
  </si>
  <si>
    <t>Y Nao</t>
  </si>
  <si>
    <t>A Tiến Dũng</t>
  </si>
  <si>
    <t>Trung tâm Chính trị xã</t>
  </si>
  <si>
    <t>Đỗ Thanh Đức</t>
  </si>
  <si>
    <t>HOẠT ĐỘNG PHÍ ĐẠI BIỂU HĐND CÁC CẤP</t>
  </si>
  <si>
    <t>+ Cấp xã</t>
  </si>
  <si>
    <t>PHỤ CẤP TRÁCH NHIỆM CẤP ỦY</t>
  </si>
  <si>
    <t>+ Uỷ viên cấp xã</t>
  </si>
  <si>
    <t>Lưu ý: chi tiết từng biên chế</t>
  </si>
  <si>
    <t>DT chi lương 1,49</t>
  </si>
  <si>
    <t>Kinh phí hỗ trợ các hoạt động của nhà Trường (chuyển trụ sở làm việc về Trụ sở mới)</t>
  </si>
  <si>
    <t>Biểu mẫu số 08</t>
  </si>
  <si>
    <t>Chi khác ngân sách (QLTT NS xã - Chưa phân bổ chi tiết)</t>
  </si>
  <si>
    <t>Dự phòng ngân sách (QLTT NS xã - Chưa phân bổ chi tiết)</t>
  </si>
  <si>
    <t>Kinh phí thực hiện chính sách giáo dục (Quản lý tập trung ngân sách xã - Phân bổ khi đủ điều kiện)</t>
  </si>
  <si>
    <t>Kinh phí dịch vụ chiếu sáng đô thị</t>
  </si>
  <si>
    <t>Trung tâm cung ứng Dịch vụ công xã (Nhiệm vụ công ích về môi trường, đô thị)</t>
  </si>
  <si>
    <t>Kinh phí đào tạo (Giao phòng Văn hóa - Xã hội)</t>
  </si>
  <si>
    <t>Quỹ thi đua khen thưởng (Giao phòng Văn hóa - Xã hội)</t>
  </si>
  <si>
    <t>Chính sách hỗ trợ chi phí học tập và miễn giảm học phí theo quy định tại Nghị định số 238/2025/NĐ-CP ngày 03/9/2025</t>
  </si>
  <si>
    <t>Kinh phí chi khác sự nghiệp giáo dục (Quản lý tập trung ngân sách xã - Phân bổ khi đủ điều kiện)</t>
  </si>
  <si>
    <t>Chi khác ngân sách xã (Quản lý tập trung ngân sách xã - Phân bổ khi đủ điều kiện)</t>
  </si>
  <si>
    <t>Dự phòng ngân sách (Quản lý tập trung ngân sách xã - Phân bổ khi đủ điều kiện)</t>
  </si>
  <si>
    <t>Kinh phí dự phòng thực hiện chính sách tiền lương, CCTL(Quản lý tập trung ngân sách xã - Phân bổ khi đủ điều kiện)</t>
  </si>
  <si>
    <t>Kinh phí dự phòng thực hiện chính sách tiền lương, CCTL (Quản lý tập trung ngân sách xã - Phân bổ khi đủ điều kiện)</t>
  </si>
  <si>
    <t>Kinh phí tổ chức Đại hội Liên Hiệp Thanh niên VN xã</t>
  </si>
  <si>
    <t>Kinh phí chi cho công tác thi đua, khen thưởng Giáo dục - Đào tạo (Giao phòng Văn hóa - Xã hội)</t>
  </si>
  <si>
    <t>Định mức</t>
  </si>
  <si>
    <t>ha</t>
  </si>
  <si>
    <t>Kết quả vụ đông xuân và vụ mùa (Chỉ tiêu KTXH 2025)</t>
  </si>
  <si>
    <t>Vụ đông xuân</t>
  </si>
  <si>
    <t>Vụ mùa</t>
  </si>
  <si>
    <t>trđ/ha</t>
  </si>
  <si>
    <t>Kinh phí năm 2026</t>
  </si>
  <si>
    <t>Kinh phí tổ chức thi Làn điệu Tingting và Nghệ thuật quần chúng của người Xơ Đăng</t>
  </si>
  <si>
    <t>UBMT TQVN (Phụ cấp CB KCT xã; Ban công tác MT thôn)</t>
  </si>
  <si>
    <t>Hỗ trợ kinh phí may trang phục đồng phục</t>
  </si>
  <si>
    <t>Kinh phí mở lớp bình dân học vụ số (Bồi dưỡng, tập huấn)</t>
  </si>
  <si>
    <t>Kinh phí mua hoa, cây xanh, trang trí trụ sở khuôn viên UBND xã dịp Tết Nguyên đán</t>
  </si>
  <si>
    <t>Kinh phí Lãnh đạo UBND xã đi thăm các cơ quan, đơn vị, cá nhân và các thôn nhân dịp Tết Nguyên đán</t>
  </si>
  <si>
    <t>Hỗ trợ kinh phí hoạt động theo QĐ số 99-BTC/TW</t>
  </si>
  <si>
    <t>Hỗ trợ thêm kinh phí chi trả tiền wifi, tiền điện văn phòng phẩm,... phục vụ người dân</t>
  </si>
  <si>
    <t xml:space="preserve">Quốc phòng-An ninh </t>
  </si>
  <si>
    <t>Kinh phí triển khai các nhiệm vụ thuộc lĩnh vực Y tế trên địa bàn xã</t>
  </si>
  <si>
    <t>Kinh phí thực hiện các Đề án 938, 939; tập huấn khởi nghiệp, xây dựng mô hình phụ nữ khởi nghiệp; công tác tuyên truyền; phát động phong trào thi đua…</t>
  </si>
  <si>
    <t>Kinh phí tổ chức các ngày 8/3, 20/10</t>
  </si>
  <si>
    <t xml:space="preserve">Hỗ trợ kinh phí xăng, xe </t>
  </si>
  <si>
    <t>Kinh phí mua hoa, cây xanh, trang trí trụ sở khuôn viên Đảng ủy xã dịp Tết Nguyên đán</t>
  </si>
  <si>
    <t>Kinh phí Thường trực Đảng ủy xã đi thăm các cơ quan, đơn vị, cá nhân và các thôn nhân dịp Tết Nguyên đán</t>
  </si>
  <si>
    <t>Kinh phí trang bị hệ thống phòng cháy chữa cháy</t>
  </si>
  <si>
    <t>Kinh phí Quy hoạch xã</t>
  </si>
  <si>
    <t>Hỗ trợ kinh phí gia hạn phần mềm Kế toán, phần mềm QLTS</t>
  </si>
  <si>
    <t xml:space="preserve">Kinh phí hỗ trợ thêm đảm bảo các hoạt động chung của UBND xã </t>
  </si>
  <si>
    <t xml:space="preserve">Kinh phí hỗ trợ thêm đảm bảo các hoạt động Lãnh đạo UBND xã </t>
  </si>
  <si>
    <t>Kinh phí sơ kết, tổng kết, kỉ niệm ngày thành lập ngành</t>
  </si>
  <si>
    <t>Kinh phí  hoạt động các nội dung công việc theo chỉ đạo cấp của trên</t>
  </si>
  <si>
    <t>UBMT TQVN (Chi hỗ trợ hoạt động khu dân cư)</t>
  </si>
  <si>
    <t>Kinh phí hỗ trợ học sinh PTTH vùng ĐBKK theo Nghị định số 66/2025/NĐ-CP ngày 12/3/2025 của Chính phủ</t>
  </si>
  <si>
    <t>Chính sách đối với người có uy tín trong đồng bào dân tộc thiểu số theo quy định tại Quyết định số 12/2018/QĐ-TTg và Quyết định số 28/2023/QĐ-TTg của Thủ tướng Chính phủ</t>
  </si>
  <si>
    <t>Kinh phí cấp bù thủy lợi phí</t>
  </si>
  <si>
    <t>Hỗ trợ bảo vệ và phát triển đất trồng lúa</t>
  </si>
  <si>
    <t>Hỗ trợ thêm kinh phí hoạt động chung Đảng ủy xã</t>
  </si>
  <si>
    <t>Kinh phí trồng hoa, cây xanh phục vụ trang trí tết Nguyên đán….</t>
  </si>
  <si>
    <t>Chi công tác giao quân, tuyển quân, nhận quân, thăm hỏi công dân hoàn thành nghĩa vụ quân sự</t>
  </si>
  <si>
    <t>Kinh phí chi công tác quản lý hành chính về TTXH (tuyên truyền nhân dân giao nộp vũ khí, vật liệu nổ, CCHT; chi cho công tác tập huấn nghiệp vụ bảo vệ bí mật nhà nước, PCCC, cứu nạn cứu hộ tập huấn cho Công an xã,…phục vụ các nhiệm vụ của địa phương)</t>
  </si>
  <si>
    <t>Kinh phí  chi trả lương Hợp đồng 111 (Lái xe, bảo vệ, tạp vụ,...)</t>
  </si>
  <si>
    <t>Kinh phí hỗ trợ thêm triển khai các hoạt động theo chủ trương, chỉ đạo của cấp trên</t>
  </si>
  <si>
    <t>Kinh phí  chi trả lương Hợp đồng 111 (Bảo vệ, tạp vụ,...)</t>
  </si>
  <si>
    <t xml:space="preserve">Kinh phí triển khai công tác Dân vận khéo </t>
  </si>
  <si>
    <t>Kinh phí thực hiện cuộc vận động "Người Việt Nam ưu tiên dùng hàng Việt Nam"</t>
  </si>
  <si>
    <t>Kinh phí thăm hỏi, tặng quà, gặp mặt già làng, thôn trưởng</t>
  </si>
  <si>
    <t>Kinh phí huấn luyện Khối Tự vệ</t>
  </si>
  <si>
    <t>Kinh phí phục vụ công tác bầu cử Đại biểu Quôc hội khóa XVI và Đại biểu HĐND các cấp nhiệm kỳ 2026 - 2031</t>
  </si>
  <si>
    <t>Chi công tác trực gác các ngày lễ, ngày cao điểm</t>
  </si>
  <si>
    <t>Kinh phí ủy thác cho vay hộ nghèo, hộ chính sách (Phòng Giao dịch Ngân hàng Chính sách Xã Hội Tu Mơ Rông)</t>
  </si>
  <si>
    <t>Kinh phí Tổ kiểm tra soạn thảo văn bản (kiểm tra thực hiện các nhiệm vụ, kết luận, chỉ đạo của UBND xã, Chủ tịch UBND xã)</t>
  </si>
  <si>
    <t>DỰ TOÁN KINH PHÍ HỖ TRỢ LỰC LƯỢNG DÂN QUÂN THƯỜNG TRỰC NĂM 2026</t>
  </si>
  <si>
    <t>Đvt</t>
  </si>
  <si>
    <t>Số người</t>
  </si>
  <si>
    <t>Số ngày</t>
  </si>
  <si>
    <t>Thành tiên</t>
  </si>
  <si>
    <t>Trợ cấp ngày công lao động</t>
  </si>
  <si>
    <t>Người</t>
  </si>
  <si>
    <t>Tiền ăn cho LLDQ</t>
  </si>
  <si>
    <t>Tổng</t>
  </si>
  <si>
    <t>Tiết kiệm 10% chi thường xuyên tạo nguồn CCTL</t>
  </si>
  <si>
    <t>8=2-6-7</t>
  </si>
  <si>
    <t>Tiết kiệm thêm 10% chi thường xuyên bổ sung nguồn chi ASXH</t>
  </si>
  <si>
    <t>Văn phòng HĐND-UBND xã (Thôn trưởng; Tổ đội an ninh trật tự)</t>
  </si>
  <si>
    <t>Kinh phí chỉnh lý tài liệu</t>
  </si>
  <si>
    <t>Kinh phí hỗ trợ thôn làng đón Tết Nguyên đán (Tổ chức ngày Hội bánh chưng xanh)</t>
  </si>
  <si>
    <t>Kinh phí thực triển khai các hoạt động Y tế trên địa bàn xã</t>
  </si>
  <si>
    <t>UBMT TQVN, Đoàn xã, Hội LHPN, Hội CCB, Hội Nông dân (Kinh phí hoạt động của tổ chức chính trị - xã hội cấp xã 1,5 trđ/đơn vị)</t>
  </si>
  <si>
    <t>Kinh phí mua Cờ, khăn bàn hội trường phục vụ các ngày Lễ tế, Hội nghị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</si>
</sst>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_-;\-* #,##0.00_-;_-* &quot;-&quot;??_-;_-@_-"/>
    <numFmt numFmtId="164" formatCode="#,##0.0"/>
    <numFmt numFmtId="165" formatCode="_(* #,##0.00_);_(* \(#,##0.00\);_(* &quot;-&quot;??_);_(@_)"/>
    <numFmt numFmtId="166" formatCode="#,##0;[Red]#,##0"/>
    <numFmt numFmtId="167" formatCode="_-* #,##0_-;\-* #,##0_-;_-* &quot;-&quot;??_-;_-@_-"/>
    <numFmt numFmtId="168" formatCode="#,##0.000"/>
    <numFmt numFmtId="169" formatCode="_(* #,##0.000_);_(* \(#,##0.000\);_(* &quot;-&quot;??_);_(@_)"/>
    <numFmt numFmtId="170" formatCode="_(* #,##0.000_);_(* \(#,##0.000\);_(* &quot;-&quot;???_);_(@_)"/>
    <numFmt numFmtId="171" formatCode="_-* #,##0.000_-;\-* #,##0.000_-;_-* &quot;-&quot;???_-;_-@_-"/>
    <numFmt numFmtId="172" formatCode="_(* #,##0_);_(* \(#,##0\);_(* &quot;-&quot;??_);_(@_)"/>
    <numFmt numFmtId="173" formatCode="_(* #,##0.0_);_(* \(#,##0.0\);_(* &quot;-&quot;??_);_(@_)"/>
    <numFmt numFmtId="174" formatCode="0.000"/>
    <numFmt numFmtId="175" formatCode="00"/>
    <numFmt numFmtId="176" formatCode="_(* #,##0.000000_);_(* \(#,##0.000000\);_(* &quot;-&quot;??_);_(@_)"/>
    <numFmt numFmtId="177" formatCode="_-* #,##0.000000\ _₫_-;\-* #,##0.000000\ _₫_-;_-* &quot;-&quot;??????\ _₫_-;_-@_-"/>
    <numFmt numFmtId="178" formatCode="_-* #,##0.000\ _₫_-;\-* #,##0.000\ _₫_-;_-* &quot;-&quot;???\ _₫_-;_-@_-"/>
    <numFmt numFmtId="179" formatCode="_-* #,##0.0\ _₫_-;\-* #,##0.0\ _₫_-;_-* &quot;-&quot;?\ _₫_-;_-@_-"/>
    <numFmt numFmtId="180" formatCode="_-* #,##0.0000_-;\-* #,##0.0000_-;_-* &quot;-&quot;??_-;_-@_-"/>
    <numFmt numFmtId="181" formatCode="_-* #,##0.00000_-;\-* #,##0.00000_-;_-* &quot;-&quot;??_-;_-@_-"/>
    <numFmt numFmtId="182" formatCode="_-* #,##0.00000_-;\-* #,##0.00000_-;_-* &quot;-&quot;?????_-;_-@_-"/>
    <numFmt numFmtId="183" formatCode="_-* #,##0.000_-;\-* #,##0.000_-;_-* &quot;-&quot;??_-;_-@_-"/>
    <numFmt numFmtId="184" formatCode="_-* #,##0.0000_-;\-* #,##0.0000_-;_-* &quot;-&quot;????_-;_-@_-"/>
    <numFmt numFmtId="185" formatCode="_-* #,##0.000000_-;\-* #,##0.000000_-;_-* &quot;-&quot;???_-;_-@_-"/>
    <numFmt numFmtId="186" formatCode="_-* #,##0.0000000_-;\-* #,##0.0000000_-;_-* &quot;-&quot;???_-;_-@_-"/>
    <numFmt numFmtId="187" formatCode="_-* #,##0.00_-;\-* #,##0.00_-;_-* &quot;-&quot;???_-;_-@_-"/>
  </numFmts>
  <fonts count="35" x14ac:knownFonts="1">
    <font>
      <sz val="11"/>
      <color theme="1"/>
      <name val="Calibri"/>
      <family val="2"/>
      <scheme val="minor"/>
    </font>
    <font>
      <sz val="11"/>
      <color theme="1"/>
      <name val="Calibri"/>
      <family val="2"/>
      <scheme val="minor"/>
    </font>
    <font>
      <sz val="11"/>
      <color indexed="8"/>
      <name val="Calibri"/>
      <family val="2"/>
    </font>
    <font>
      <sz val="11"/>
      <color indexed="8"/>
      <name val="Calibri"/>
      <family val="2"/>
      <charset val="163"/>
    </font>
    <font>
      <sz val="12"/>
      <name val="Times New Roman"/>
      <family val="1"/>
    </font>
    <font>
      <sz val="12"/>
      <name val=".VnTime"/>
      <family val="2"/>
    </font>
    <font>
      <sz val="10"/>
      <name val="Arial"/>
      <family val="2"/>
    </font>
    <font>
      <b/>
      <sz val="10"/>
      <name val="Times New Roman"/>
      <family val="1"/>
    </font>
    <font>
      <i/>
      <sz val="10"/>
      <name val="Times New Roman"/>
      <family val="1"/>
    </font>
    <font>
      <sz val="10"/>
      <name val="Times New Roman"/>
      <family val="1"/>
    </font>
    <font>
      <b/>
      <sz val="10"/>
      <color rgb="FFFF0000"/>
      <name val="Times New Roman"/>
      <family val="1"/>
    </font>
    <font>
      <sz val="12"/>
      <name val=".VnArial Narrow"/>
      <family val="2"/>
    </font>
    <font>
      <sz val="14"/>
      <name val="Times New Roman"/>
      <family val="1"/>
    </font>
    <font>
      <sz val="13"/>
      <name val=".VnTime"/>
      <family val="2"/>
    </font>
    <font>
      <b/>
      <sz val="10"/>
      <name val="Times New Roman"/>
      <family val="1"/>
      <charset val="163"/>
    </font>
    <font>
      <sz val="10"/>
      <name val="Arial"/>
      <family val="2"/>
      <charset val="163"/>
    </font>
    <font>
      <i/>
      <sz val="10"/>
      <name val="Times New Roman"/>
      <family val="1"/>
      <charset val="163"/>
    </font>
    <font>
      <i/>
      <sz val="10"/>
      <name val="Arial"/>
      <family val="2"/>
      <charset val="163"/>
    </font>
    <font>
      <b/>
      <i/>
      <sz val="10"/>
      <name val="Times New Roman"/>
      <family val="1"/>
      <charset val="163"/>
    </font>
    <font>
      <sz val="10"/>
      <name val="Times New Roman"/>
      <family val="1"/>
      <charset val="163"/>
    </font>
    <font>
      <b/>
      <sz val="10"/>
      <name val="Arial"/>
      <family val="2"/>
      <charset val="163"/>
    </font>
    <font>
      <b/>
      <sz val="10"/>
      <color theme="1"/>
      <name val="Times New Roman"/>
      <family val="1"/>
    </font>
    <font>
      <sz val="10"/>
      <color theme="1"/>
      <name val="Calibri"/>
      <family val="2"/>
      <scheme val="minor"/>
    </font>
    <font>
      <b/>
      <sz val="10"/>
      <color indexed="8"/>
      <name val="Times New Roman"/>
      <family val="1"/>
    </font>
    <font>
      <i/>
      <sz val="10"/>
      <color indexed="8"/>
      <name val="Times New Roman"/>
      <family val="1"/>
    </font>
    <font>
      <sz val="10"/>
      <name val="Calibri"/>
      <family val="2"/>
      <scheme val="minor"/>
    </font>
    <font>
      <sz val="10"/>
      <color rgb="FFFF0000"/>
      <name val="Calibri"/>
      <family val="2"/>
      <scheme val="minor"/>
    </font>
    <font>
      <sz val="10"/>
      <name val="Calibri"/>
      <family val="2"/>
      <charset val="163"/>
      <scheme val="minor"/>
    </font>
    <font>
      <sz val="10"/>
      <name val="Calibri"/>
      <family val="2"/>
      <charset val="163"/>
    </font>
    <font>
      <b/>
      <sz val="11"/>
      <color theme="1"/>
      <name val="Calibri"/>
      <family val="2"/>
      <scheme val="minor"/>
    </font>
    <font>
      <i/>
      <sz val="10"/>
      <color indexed="8"/>
      <name val="Calibri"/>
      <family val="2"/>
      <charset val="163"/>
    </font>
    <font>
      <i/>
      <sz val="10"/>
      <name val="Calibri"/>
      <family val="2"/>
      <charset val="163"/>
      <scheme val="minor"/>
    </font>
    <font>
      <i/>
      <sz val="10"/>
      <name val="Calibri"/>
      <family val="2"/>
      <scheme val="minor"/>
    </font>
    <font>
      <b/>
      <sz val="10"/>
      <name val="Calibri"/>
      <family val="2"/>
      <scheme val="minor"/>
    </font>
    <font>
      <sz val="9"/>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5">
    <xf numFmtId="0" fontId="0" fillId="0" borderId="0"/>
    <xf numFmtId="43" fontId="1" fillId="0" borderId="0" applyFont="0" applyFill="0" applyBorder="0" applyAlignment="0" applyProtection="0"/>
    <xf numFmtId="0" fontId="2" fillId="0" borderId="0"/>
    <xf numFmtId="0" fontId="2" fillId="0" borderId="0"/>
    <xf numFmtId="165" fontId="3" fillId="0" borderId="0" applyFont="0" applyFill="0" applyBorder="0" applyAlignment="0" applyProtection="0"/>
    <xf numFmtId="0" fontId="5" fillId="0" borderId="0"/>
    <xf numFmtId="0" fontId="6" fillId="0" borderId="0"/>
    <xf numFmtId="0" fontId="11" fillId="0" borderId="0"/>
    <xf numFmtId="0" fontId="4" fillId="0" borderId="0"/>
    <xf numFmtId="0" fontId="4" fillId="0" borderId="0"/>
    <xf numFmtId="0" fontId="12" fillId="0" borderId="0"/>
    <xf numFmtId="0" fontId="6" fillId="0" borderId="0"/>
    <xf numFmtId="43" fontId="1" fillId="0" borderId="0" applyFont="0" applyFill="0" applyBorder="0" applyAlignment="0" applyProtection="0"/>
    <xf numFmtId="0" fontId="11" fillId="0" borderId="0"/>
    <xf numFmtId="0" fontId="13" fillId="0" borderId="0"/>
  </cellStyleXfs>
  <cellXfs count="535">
    <xf numFmtId="0" fontId="0" fillId="0" borderId="0" xfId="0"/>
    <xf numFmtId="0" fontId="8"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174" fontId="9" fillId="2" borderId="0" xfId="0" applyNumberFormat="1" applyFont="1" applyFill="1" applyAlignment="1">
      <alignment vertical="center" wrapText="1"/>
    </xf>
    <xf numFmtId="0" fontId="9" fillId="2" borderId="0" xfId="0" applyNumberFormat="1" applyFont="1" applyFill="1" applyAlignment="1">
      <alignment horizontal="center" vertical="center" wrapText="1"/>
    </xf>
    <xf numFmtId="43" fontId="9" fillId="2" borderId="0" xfId="1" applyFont="1" applyFill="1" applyAlignment="1">
      <alignment vertical="center" wrapText="1"/>
    </xf>
    <xf numFmtId="175" fontId="7" fillId="2" borderId="9" xfId="0" applyNumberFormat="1" applyFont="1" applyFill="1" applyBorder="1" applyAlignment="1">
      <alignment horizontal="center" vertical="center" wrapText="1"/>
    </xf>
    <xf numFmtId="0" fontId="7" fillId="2" borderId="9" xfId="0" applyFont="1" applyFill="1" applyBorder="1" applyAlignment="1">
      <alignment horizontal="left" vertical="center" wrapText="1"/>
    </xf>
    <xf numFmtId="0" fontId="7" fillId="2" borderId="9" xfId="1" applyNumberFormat="1" applyFont="1" applyFill="1" applyBorder="1" applyAlignment="1">
      <alignment horizontal="center" vertical="center" wrapText="1"/>
    </xf>
    <xf numFmtId="171" fontId="7" fillId="2" borderId="9" xfId="1" applyNumberFormat="1" applyFont="1" applyFill="1" applyBorder="1" applyAlignment="1">
      <alignment horizontal="center" vertical="center" wrapText="1"/>
    </xf>
    <xf numFmtId="170" fontId="7" fillId="2" borderId="0" xfId="0" applyNumberFormat="1" applyFont="1" applyFill="1" applyAlignment="1">
      <alignment vertical="center" wrapText="1"/>
    </xf>
    <xf numFmtId="171" fontId="9" fillId="2" borderId="0" xfId="0" applyNumberFormat="1" applyFont="1" applyFill="1" applyAlignment="1">
      <alignment vertical="center" wrapText="1"/>
    </xf>
    <xf numFmtId="171" fontId="7" fillId="2" borderId="9" xfId="1" applyNumberFormat="1" applyFont="1" applyFill="1" applyBorder="1" applyAlignment="1">
      <alignment horizontal="right" vertical="center" wrapText="1"/>
    </xf>
    <xf numFmtId="175" fontId="9" fillId="2" borderId="9" xfId="0" quotePrefix="1" applyNumberFormat="1" applyFont="1" applyFill="1" applyBorder="1" applyAlignment="1">
      <alignment horizontal="center" vertical="center" wrapText="1"/>
    </xf>
    <xf numFmtId="0" fontId="9" fillId="0" borderId="9" xfId="0" quotePrefix="1" applyFont="1" applyFill="1" applyBorder="1" applyAlignment="1">
      <alignment vertical="center" wrapText="1"/>
    </xf>
    <xf numFmtId="171" fontId="9" fillId="2" borderId="9" xfId="1" applyNumberFormat="1" applyFont="1" applyFill="1" applyBorder="1" applyAlignment="1">
      <alignment horizontal="right" vertical="center" wrapText="1"/>
    </xf>
    <xf numFmtId="0" fontId="9" fillId="2" borderId="9" xfId="0" applyFont="1" applyFill="1" applyBorder="1" applyAlignment="1">
      <alignment horizontal="left" vertical="center" wrapText="1"/>
    </xf>
    <xf numFmtId="0" fontId="7" fillId="2" borderId="9" xfId="0" applyFont="1" applyFill="1" applyBorder="1" applyAlignment="1">
      <alignment vertical="center" wrapText="1"/>
    </xf>
    <xf numFmtId="0" fontId="7" fillId="2" borderId="0" xfId="0" applyFont="1" applyFill="1" applyAlignment="1">
      <alignment vertical="center" wrapText="1"/>
    </xf>
    <xf numFmtId="175" fontId="9" fillId="2" borderId="9" xfId="0" applyNumberFormat="1" applyFont="1" applyFill="1" applyBorder="1" applyAlignment="1">
      <alignment horizontal="center" vertical="center" wrapText="1"/>
    </xf>
    <xf numFmtId="0" fontId="9" fillId="2" borderId="9" xfId="0" applyFont="1" applyFill="1" applyBorder="1" applyAlignment="1">
      <alignment vertical="center" wrapText="1"/>
    </xf>
    <xf numFmtId="169" fontId="7" fillId="2" borderId="9" xfId="1" applyNumberFormat="1" applyFont="1" applyFill="1" applyBorder="1" applyAlignment="1">
      <alignment horizontal="center" vertical="center" wrapText="1"/>
    </xf>
    <xf numFmtId="0" fontId="7" fillId="2" borderId="9" xfId="0" quotePrefix="1" applyFont="1" applyFill="1" applyBorder="1" applyAlignment="1">
      <alignment horizontal="center" vertical="center" wrapText="1"/>
    </xf>
    <xf numFmtId="175" fontId="7" fillId="2" borderId="9" xfId="0" quotePrefix="1" applyNumberFormat="1" applyFont="1" applyFill="1" applyBorder="1" applyAlignment="1">
      <alignment horizontal="center" vertical="center" wrapText="1"/>
    </xf>
    <xf numFmtId="173" fontId="9" fillId="2" borderId="9" xfId="1" quotePrefix="1" applyNumberFormat="1" applyFont="1" applyFill="1" applyBorder="1" applyAlignment="1">
      <alignment horizontal="center" vertical="center"/>
    </xf>
    <xf numFmtId="175" fontId="9" fillId="2" borderId="9" xfId="5" applyNumberFormat="1" applyFont="1" applyFill="1" applyBorder="1" applyAlignment="1">
      <alignment vertical="center" wrapText="1"/>
    </xf>
    <xf numFmtId="175" fontId="7" fillId="2" borderId="9" xfId="5" applyNumberFormat="1" applyFont="1" applyFill="1" applyBorder="1" applyAlignment="1">
      <alignment vertical="center" wrapText="1"/>
    </xf>
    <xf numFmtId="3" fontId="7" fillId="2" borderId="9" xfId="6" applyNumberFormat="1" applyFont="1" applyFill="1" applyBorder="1" applyAlignment="1">
      <alignment horizontal="left" vertical="center" wrapText="1"/>
    </xf>
    <xf numFmtId="171" fontId="7" fillId="0" borderId="9" xfId="1" applyNumberFormat="1" applyFont="1" applyFill="1" applyBorder="1" applyAlignment="1">
      <alignment horizontal="right" vertical="center" wrapText="1"/>
    </xf>
    <xf numFmtId="49" fontId="7" fillId="2" borderId="9" xfId="0" applyNumberFormat="1" applyFont="1" applyFill="1" applyBorder="1" applyAlignment="1">
      <alignment vertical="center" wrapText="1"/>
    </xf>
    <xf numFmtId="49" fontId="9" fillId="2" borderId="9" xfId="0" applyNumberFormat="1" applyFont="1" applyFill="1" applyBorder="1" applyAlignment="1">
      <alignment vertical="center" wrapText="1"/>
    </xf>
    <xf numFmtId="171" fontId="9" fillId="2" borderId="9" xfId="1" applyNumberFormat="1" applyFont="1" applyFill="1" applyBorder="1" applyAlignment="1">
      <alignment horizontal="right" wrapText="1"/>
    </xf>
    <xf numFmtId="3" fontId="7" fillId="2" borderId="9" xfId="0" applyNumberFormat="1" applyFont="1" applyFill="1" applyBorder="1" applyAlignment="1">
      <alignment vertical="center" wrapText="1"/>
    </xf>
    <xf numFmtId="171" fontId="9" fillId="0" borderId="9" xfId="1" applyNumberFormat="1" applyFont="1" applyFill="1" applyBorder="1" applyAlignment="1">
      <alignment horizontal="right" vertical="center" wrapText="1"/>
    </xf>
    <xf numFmtId="167" fontId="7" fillId="2" borderId="9" xfId="1" applyNumberFormat="1" applyFont="1" applyFill="1" applyBorder="1" applyAlignment="1">
      <alignment vertical="center" wrapText="1"/>
    </xf>
    <xf numFmtId="171" fontId="8" fillId="2" borderId="9" xfId="1" applyNumberFormat="1" applyFont="1" applyFill="1" applyBorder="1" applyAlignment="1">
      <alignment horizontal="right" vertical="center" wrapText="1"/>
    </xf>
    <xf numFmtId="0" fontId="8" fillId="2" borderId="0" xfId="0" applyFont="1" applyFill="1" applyAlignment="1">
      <alignment vertical="center" wrapText="1"/>
    </xf>
    <xf numFmtId="175" fontId="7" fillId="2" borderId="12" xfId="0" applyNumberFormat="1" applyFont="1" applyFill="1" applyBorder="1" applyAlignment="1">
      <alignment horizontal="center" vertical="center" wrapText="1"/>
    </xf>
    <xf numFmtId="0" fontId="7" fillId="2" borderId="12" xfId="0" applyFont="1" applyFill="1" applyBorder="1" applyAlignment="1">
      <alignment horizontal="left" vertical="center" wrapText="1"/>
    </xf>
    <xf numFmtId="171" fontId="7" fillId="2" borderId="12" xfId="1" applyNumberFormat="1" applyFont="1" applyFill="1" applyBorder="1" applyAlignment="1">
      <alignment horizontal="right" vertical="center" wrapText="1"/>
    </xf>
    <xf numFmtId="0" fontId="7" fillId="2" borderId="0" xfId="0" applyFont="1" applyFill="1" applyBorder="1" applyAlignment="1">
      <alignment horizontal="left" vertical="center" wrapText="1"/>
    </xf>
    <xf numFmtId="0" fontId="7" fillId="2" borderId="0" xfId="0" applyNumberFormat="1" applyFont="1" applyFill="1" applyBorder="1" applyAlignment="1">
      <alignment horizontal="center" vertical="center" wrapText="1"/>
    </xf>
    <xf numFmtId="176" fontId="7" fillId="2" borderId="0" xfId="1" applyNumberFormat="1" applyFont="1" applyFill="1" applyBorder="1" applyAlignment="1">
      <alignment horizontal="right" vertical="center" wrapText="1"/>
    </xf>
    <xf numFmtId="43" fontId="7" fillId="2" borderId="0" xfId="1" applyFont="1" applyFill="1" applyBorder="1" applyAlignment="1">
      <alignment vertical="center" wrapText="1"/>
    </xf>
    <xf numFmtId="175" fontId="7" fillId="2" borderId="0" xfId="0" applyNumberFormat="1" applyFont="1" applyFill="1" applyBorder="1" applyAlignment="1">
      <alignment horizontal="center" vertical="center" wrapText="1"/>
    </xf>
    <xf numFmtId="0" fontId="9" fillId="2" borderId="0" xfId="0" applyNumberFormat="1" applyFont="1" applyFill="1" applyAlignment="1">
      <alignment vertical="center" wrapText="1"/>
    </xf>
    <xf numFmtId="177" fontId="9" fillId="2" borderId="0" xfId="0" applyNumberFormat="1" applyFont="1" applyFill="1" applyAlignment="1">
      <alignment vertical="center" wrapText="1"/>
    </xf>
    <xf numFmtId="178" fontId="9" fillId="2" borderId="0" xfId="0" applyNumberFormat="1" applyFont="1" applyFill="1" applyAlignment="1">
      <alignment vertical="center" wrapText="1"/>
    </xf>
    <xf numFmtId="171" fontId="9" fillId="2" borderId="9" xfId="1" applyNumberFormat="1" applyFont="1" applyFill="1" applyBorder="1" applyAlignment="1">
      <alignment horizontal="center" vertical="center" wrapText="1"/>
    </xf>
    <xf numFmtId="180" fontId="9" fillId="2" borderId="0" xfId="1" applyNumberFormat="1" applyFont="1" applyFill="1" applyAlignment="1">
      <alignment vertical="center" wrapText="1"/>
    </xf>
    <xf numFmtId="169" fontId="9" fillId="2" borderId="9" xfId="1" applyNumberFormat="1" applyFont="1" applyFill="1" applyBorder="1" applyAlignment="1">
      <alignment horizontal="center" vertical="center" wrapText="1"/>
    </xf>
    <xf numFmtId="43" fontId="7" fillId="2" borderId="9" xfId="1" applyFont="1" applyFill="1" applyBorder="1" applyAlignment="1">
      <alignment horizontal="center" vertical="center" wrapText="1"/>
    </xf>
    <xf numFmtId="0" fontId="9" fillId="0" borderId="0" xfId="7" applyFont="1" applyAlignment="1">
      <alignment horizontal="center" vertical="center"/>
    </xf>
    <xf numFmtId="0" fontId="9" fillId="0" borderId="0" xfId="7" applyFont="1" applyAlignment="1">
      <alignment vertical="center"/>
    </xf>
    <xf numFmtId="0" fontId="7" fillId="0" borderId="0" xfId="7" applyFont="1" applyAlignment="1">
      <alignment horizontal="center" vertical="center" shrinkToFit="1"/>
    </xf>
    <xf numFmtId="0" fontId="8" fillId="0" borderId="0" xfId="7" applyFont="1" applyAlignment="1">
      <alignment horizontal="center" vertical="center" shrinkToFit="1"/>
    </xf>
    <xf numFmtId="0" fontId="8" fillId="0" borderId="0" xfId="7" applyFont="1" applyAlignment="1">
      <alignment vertical="center"/>
    </xf>
    <xf numFmtId="0" fontId="9" fillId="2" borderId="0" xfId="7" applyFont="1" applyFill="1" applyAlignment="1">
      <alignment horizontal="center" vertical="center"/>
    </xf>
    <xf numFmtId="49" fontId="9" fillId="2" borderId="0" xfId="7" applyNumberFormat="1" applyFont="1" applyFill="1" applyAlignment="1">
      <alignment vertical="center"/>
    </xf>
    <xf numFmtId="0" fontId="9" fillId="2" borderId="0" xfId="7" applyFont="1" applyFill="1" applyAlignment="1">
      <alignment vertical="center"/>
    </xf>
    <xf numFmtId="0" fontId="9" fillId="2" borderId="0" xfId="7" applyFont="1" applyFill="1" applyAlignment="1">
      <alignment horizontal="right" vertical="center"/>
    </xf>
    <xf numFmtId="169" fontId="9" fillId="2" borderId="0" xfId="7" applyNumberFormat="1" applyFont="1" applyFill="1" applyAlignment="1">
      <alignment vertical="center"/>
    </xf>
    <xf numFmtId="0" fontId="7" fillId="0" borderId="0" xfId="7" applyFont="1" applyAlignment="1">
      <alignment vertical="center"/>
    </xf>
    <xf numFmtId="0" fontId="7" fillId="2" borderId="9" xfId="7" applyFont="1" applyFill="1" applyBorder="1" applyAlignment="1">
      <alignment vertical="center" wrapText="1"/>
    </xf>
    <xf numFmtId="49" fontId="7" fillId="2" borderId="9" xfId="7" applyNumberFormat="1" applyFont="1" applyFill="1" applyBorder="1" applyAlignment="1">
      <alignment horizontal="center" vertical="center" wrapText="1"/>
    </xf>
    <xf numFmtId="0" fontId="7" fillId="2" borderId="9" xfId="7" quotePrefix="1" applyFont="1" applyFill="1" applyBorder="1" applyAlignment="1">
      <alignment horizontal="center" vertical="center" wrapText="1"/>
    </xf>
    <xf numFmtId="169" fontId="7" fillId="2" borderId="9" xfId="7" quotePrefix="1" applyNumberFormat="1" applyFont="1" applyFill="1" applyBorder="1" applyAlignment="1">
      <alignment horizontal="center" vertical="center" wrapText="1"/>
    </xf>
    <xf numFmtId="0" fontId="7" fillId="0" borderId="9" xfId="7" applyFont="1" applyBorder="1" applyAlignment="1">
      <alignment horizontal="center" vertical="center" wrapText="1"/>
    </xf>
    <xf numFmtId="0" fontId="7" fillId="0" borderId="0" xfId="7" applyFont="1" applyAlignment="1">
      <alignment vertical="center" wrapText="1"/>
    </xf>
    <xf numFmtId="0" fontId="9" fillId="2" borderId="9" xfId="0" applyFont="1" applyFill="1" applyBorder="1" applyAlignment="1">
      <alignment horizontal="center" vertical="center"/>
    </xf>
    <xf numFmtId="49" fontId="7" fillId="2" borderId="9" xfId="0" applyNumberFormat="1" applyFont="1" applyFill="1" applyBorder="1" applyAlignment="1">
      <alignment horizontal="center" vertical="center"/>
    </xf>
    <xf numFmtId="37" fontId="7" fillId="2" borderId="9" xfId="7" applyNumberFormat="1" applyFont="1" applyFill="1" applyBorder="1" applyAlignment="1">
      <alignment horizontal="center" vertical="center"/>
    </xf>
    <xf numFmtId="43" fontId="7" fillId="2" borderId="9" xfId="1" applyFont="1" applyFill="1" applyBorder="1" applyAlignment="1">
      <alignment horizontal="center" vertical="center"/>
    </xf>
    <xf numFmtId="0" fontId="9" fillId="0" borderId="9" xfId="7" applyFont="1" applyBorder="1" applyAlignment="1">
      <alignment horizontal="center" vertical="center"/>
    </xf>
    <xf numFmtId="43" fontId="9" fillId="0" borderId="0" xfId="7" applyNumberFormat="1" applyFont="1" applyAlignment="1">
      <alignment vertical="center"/>
    </xf>
    <xf numFmtId="0" fontId="7" fillId="2" borderId="9" xfId="0" applyFont="1" applyFill="1" applyBorder="1" applyAlignment="1">
      <alignment horizontal="center" vertical="center"/>
    </xf>
    <xf numFmtId="49" fontId="7" fillId="2" borderId="9" xfId="0" applyNumberFormat="1" applyFont="1" applyFill="1" applyBorder="1" applyAlignment="1">
      <alignment horizontal="left" vertical="center" wrapText="1"/>
    </xf>
    <xf numFmtId="49" fontId="9" fillId="2" borderId="9" xfId="0" applyNumberFormat="1" applyFont="1" applyFill="1" applyBorder="1" applyAlignment="1">
      <alignment horizontal="left" vertical="center"/>
    </xf>
    <xf numFmtId="0" fontId="9" fillId="2" borderId="9" xfId="7" quotePrefix="1" applyFont="1" applyFill="1" applyBorder="1" applyAlignment="1">
      <alignment vertical="center"/>
    </xf>
    <xf numFmtId="3" fontId="9" fillId="2" borderId="9" xfId="7" applyNumberFormat="1" applyFont="1" applyFill="1" applyBorder="1" applyAlignment="1">
      <alignment vertical="center"/>
    </xf>
    <xf numFmtId="168" fontId="9" fillId="2" borderId="9" xfId="7" applyNumberFormat="1" applyFont="1" applyFill="1" applyBorder="1" applyAlignment="1">
      <alignment horizontal="right" vertical="center"/>
    </xf>
    <xf numFmtId="169" fontId="9" fillId="2" borderId="9" xfId="0" applyNumberFormat="1" applyFont="1" applyFill="1" applyBorder="1" applyAlignment="1">
      <alignment vertical="center" wrapText="1"/>
    </xf>
    <xf numFmtId="49" fontId="7" fillId="2" borderId="9" xfId="0" applyNumberFormat="1" applyFont="1" applyFill="1" applyBorder="1" applyAlignment="1">
      <alignment vertical="center"/>
    </xf>
    <xf numFmtId="43" fontId="7" fillId="2" borderId="9" xfId="1" quotePrefix="1" applyFont="1" applyFill="1" applyBorder="1" applyAlignment="1">
      <alignment horizontal="center" vertical="center" wrapText="1"/>
    </xf>
    <xf numFmtId="0" fontId="9" fillId="2" borderId="9" xfId="0" applyFont="1" applyFill="1" applyBorder="1" applyAlignment="1">
      <alignment horizontal="center" vertical="center" wrapText="1"/>
    </xf>
    <xf numFmtId="49" fontId="7" fillId="2" borderId="9" xfId="0" quotePrefix="1" applyNumberFormat="1" applyFont="1" applyFill="1" applyBorder="1" applyAlignment="1">
      <alignment vertical="center" wrapText="1"/>
    </xf>
    <xf numFmtId="0" fontId="9" fillId="0" borderId="9" xfId="7" applyFont="1" applyBorder="1" applyAlignment="1">
      <alignment horizontal="center" vertical="center" wrapText="1"/>
    </xf>
    <xf numFmtId="0" fontId="9" fillId="0" borderId="0" xfId="7" applyFont="1" applyBorder="1" applyAlignment="1">
      <alignment vertical="center" wrapText="1"/>
    </xf>
    <xf numFmtId="0" fontId="9" fillId="0" borderId="0" xfId="7" applyFont="1" applyAlignment="1">
      <alignment vertical="center" wrapText="1"/>
    </xf>
    <xf numFmtId="49" fontId="7" fillId="2" borderId="9" xfId="7" applyNumberFormat="1" applyFont="1" applyFill="1" applyBorder="1" applyAlignment="1">
      <alignment vertical="center"/>
    </xf>
    <xf numFmtId="43" fontId="7" fillId="2" borderId="9" xfId="1" applyFont="1" applyFill="1" applyBorder="1" applyAlignment="1">
      <alignment horizontal="right" vertical="center"/>
    </xf>
    <xf numFmtId="43" fontId="7" fillId="2" borderId="0" xfId="7" applyNumberFormat="1" applyFont="1" applyFill="1" applyAlignment="1">
      <alignment vertical="center"/>
    </xf>
    <xf numFmtId="0" fontId="9" fillId="2" borderId="9" xfId="0" quotePrefix="1" applyFont="1" applyFill="1" applyBorder="1" applyAlignment="1">
      <alignment horizontal="center" vertical="center" wrapText="1"/>
    </xf>
    <xf numFmtId="49" fontId="9" fillId="2" borderId="9" xfId="7" applyNumberFormat="1" applyFont="1" applyFill="1" applyBorder="1" applyAlignment="1">
      <alignment vertical="center"/>
    </xf>
    <xf numFmtId="0" fontId="9" fillId="2" borderId="9" xfId="7" applyFont="1" applyFill="1" applyBorder="1" applyAlignment="1">
      <alignment horizontal="center" vertical="center"/>
    </xf>
    <xf numFmtId="43" fontId="9" fillId="2" borderId="9" xfId="1" applyFont="1" applyFill="1" applyBorder="1" applyAlignment="1">
      <alignment horizontal="right" vertical="center"/>
    </xf>
    <xf numFmtId="43" fontId="9" fillId="2" borderId="9" xfId="1" applyFont="1" applyFill="1" applyBorder="1" applyAlignment="1">
      <alignment vertical="center" wrapText="1"/>
    </xf>
    <xf numFmtId="43" fontId="7" fillId="2" borderId="9" xfId="1" quotePrefix="1" applyFont="1" applyFill="1" applyBorder="1" applyAlignment="1">
      <alignment vertical="center" wrapText="1"/>
    </xf>
    <xf numFmtId="43" fontId="7" fillId="0" borderId="9" xfId="1" applyFont="1" applyBorder="1" applyAlignment="1">
      <alignment horizontal="center" vertical="center" wrapText="1"/>
    </xf>
    <xf numFmtId="0" fontId="7" fillId="0" borderId="0" xfId="7" applyFont="1" applyBorder="1" applyAlignment="1">
      <alignment vertical="center" wrapText="1"/>
    </xf>
    <xf numFmtId="0" fontId="9" fillId="2" borderId="9" xfId="0" applyFont="1" applyFill="1" applyBorder="1"/>
    <xf numFmtId="0" fontId="9" fillId="2" borderId="9" xfId="7" quotePrefix="1" applyFont="1" applyFill="1" applyBorder="1" applyAlignment="1">
      <alignment horizontal="center" vertical="center" wrapText="1"/>
    </xf>
    <xf numFmtId="43" fontId="9" fillId="2" borderId="9" xfId="1" quotePrefix="1" applyFont="1" applyFill="1" applyBorder="1" applyAlignment="1">
      <alignment vertical="center" wrapText="1"/>
    </xf>
    <xf numFmtId="43" fontId="9" fillId="0" borderId="9" xfId="1" applyFont="1" applyBorder="1" applyAlignment="1">
      <alignment horizontal="center" vertical="center" wrapText="1"/>
    </xf>
    <xf numFmtId="0" fontId="9" fillId="2" borderId="9" xfId="8" applyNumberFormat="1" applyFont="1" applyFill="1" applyBorder="1" applyAlignment="1"/>
    <xf numFmtId="0" fontId="9" fillId="2" borderId="9" xfId="8" applyNumberFormat="1" applyFont="1" applyFill="1" applyBorder="1" applyAlignment="1">
      <alignment horizontal="left"/>
    </xf>
    <xf numFmtId="0" fontId="9" fillId="2" borderId="9" xfId="9" applyFont="1" applyFill="1" applyBorder="1" applyAlignment="1">
      <alignment horizontal="left"/>
    </xf>
    <xf numFmtId="49" fontId="9" fillId="2" borderId="9" xfId="0" applyNumberFormat="1" applyFont="1" applyFill="1" applyBorder="1" applyAlignment="1">
      <alignment horizontal="left" vertical="center" wrapText="1"/>
    </xf>
    <xf numFmtId="0" fontId="9" fillId="2" borderId="9" xfId="0" applyFont="1" applyFill="1" applyBorder="1" applyAlignment="1">
      <alignment horizontal="left" vertical="center"/>
    </xf>
    <xf numFmtId="43" fontId="9" fillId="2" borderId="9" xfId="1" applyFont="1" applyFill="1" applyBorder="1" applyAlignment="1">
      <alignment horizontal="center" vertical="center"/>
    </xf>
    <xf numFmtId="43" fontId="9" fillId="2" borderId="9" xfId="1" applyFont="1" applyFill="1" applyBorder="1" applyAlignment="1">
      <alignment vertical="center"/>
    </xf>
    <xf numFmtId="43" fontId="9" fillId="0" borderId="9" xfId="1" applyFont="1" applyBorder="1" applyAlignment="1">
      <alignment vertical="center" wrapText="1"/>
    </xf>
    <xf numFmtId="0" fontId="9" fillId="2" borderId="9" xfId="7" applyFont="1" applyFill="1" applyBorder="1" applyAlignment="1">
      <alignment horizontal="center" vertical="center" wrapText="1"/>
    </xf>
    <xf numFmtId="43" fontId="9" fillId="2" borderId="9" xfId="1" applyFont="1" applyFill="1" applyBorder="1" applyAlignment="1">
      <alignment horizontal="right" vertical="center" wrapText="1"/>
    </xf>
    <xf numFmtId="0" fontId="9" fillId="2" borderId="9" xfId="0" applyFont="1" applyFill="1" applyBorder="1" applyAlignment="1">
      <alignment horizontal="left" vertical="center" shrinkToFit="1"/>
    </xf>
    <xf numFmtId="43" fontId="9" fillId="2" borderId="9" xfId="1" quotePrefix="1" applyFont="1" applyFill="1" applyBorder="1" applyAlignment="1">
      <alignment horizontal="center" vertical="center"/>
    </xf>
    <xf numFmtId="0" fontId="9" fillId="2" borderId="9" xfId="0" applyFont="1" applyFill="1" applyBorder="1" applyAlignment="1">
      <alignment horizontal="left" vertical="center" wrapText="1" shrinkToFit="1"/>
    </xf>
    <xf numFmtId="0" fontId="9" fillId="2" borderId="10" xfId="0" applyFont="1" applyFill="1" applyBorder="1" applyAlignment="1">
      <alignment horizontal="center" vertical="center" wrapText="1"/>
    </xf>
    <xf numFmtId="0" fontId="9" fillId="2" borderId="10" xfId="0" applyFont="1" applyFill="1" applyBorder="1" applyAlignment="1">
      <alignment horizontal="left" vertical="center"/>
    </xf>
    <xf numFmtId="0" fontId="7" fillId="2" borderId="10" xfId="7" quotePrefix="1" applyFont="1" applyFill="1" applyBorder="1" applyAlignment="1">
      <alignment horizontal="center" vertical="center" wrapText="1"/>
    </xf>
    <xf numFmtId="43" fontId="9" fillId="2" borderId="10" xfId="1" applyFont="1" applyFill="1" applyBorder="1" applyAlignment="1">
      <alignment horizontal="right" vertical="center"/>
    </xf>
    <xf numFmtId="43" fontId="9" fillId="2" borderId="10" xfId="1" applyFont="1" applyFill="1" applyBorder="1" applyAlignment="1">
      <alignment horizontal="center" vertical="center"/>
    </xf>
    <xf numFmtId="43" fontId="7" fillId="2" borderId="10" xfId="1" quotePrefix="1" applyFont="1" applyFill="1" applyBorder="1" applyAlignment="1">
      <alignment vertical="center" wrapText="1"/>
    </xf>
    <xf numFmtId="43" fontId="9" fillId="2" borderId="10" xfId="1" quotePrefix="1" applyFont="1" applyFill="1" applyBorder="1" applyAlignment="1">
      <alignment vertical="center" wrapText="1"/>
    </xf>
    <xf numFmtId="43" fontId="9" fillId="2" borderId="10" xfId="1" applyFont="1" applyFill="1" applyBorder="1" applyAlignment="1">
      <alignment vertical="center" wrapText="1"/>
    </xf>
    <xf numFmtId="43" fontId="9" fillId="0" borderId="10" xfId="1" applyFont="1" applyBorder="1" applyAlignment="1">
      <alignment vertical="center" wrapText="1"/>
    </xf>
    <xf numFmtId="0" fontId="9" fillId="2" borderId="10" xfId="7" applyFont="1" applyFill="1" applyBorder="1" applyAlignment="1">
      <alignment horizontal="center" vertical="center" wrapText="1"/>
    </xf>
    <xf numFmtId="0" fontId="9" fillId="0" borderId="9" xfId="0" applyFont="1" applyFill="1" applyBorder="1" applyAlignment="1">
      <alignment horizontal="center" vertical="center" wrapText="1"/>
    </xf>
    <xf numFmtId="49" fontId="7" fillId="0" borderId="9" xfId="0" quotePrefix="1" applyNumberFormat="1" applyFont="1" applyFill="1" applyBorder="1" applyAlignment="1">
      <alignment vertical="center" wrapText="1"/>
    </xf>
    <xf numFmtId="0" fontId="7" fillId="0" borderId="9" xfId="7" quotePrefix="1" applyFont="1" applyFill="1" applyBorder="1" applyAlignment="1">
      <alignment horizontal="center" vertical="center" wrapText="1"/>
    </xf>
    <xf numFmtId="43" fontId="7" fillId="0" borderId="9" xfId="1" quotePrefix="1" applyFont="1" applyFill="1" applyBorder="1" applyAlignment="1">
      <alignment vertical="center" wrapText="1"/>
    </xf>
    <xf numFmtId="3" fontId="9" fillId="0" borderId="9" xfId="0" applyNumberFormat="1" applyFont="1" applyFill="1" applyBorder="1" applyAlignment="1">
      <alignment vertical="center" wrapText="1"/>
    </xf>
    <xf numFmtId="43" fontId="9" fillId="0" borderId="9" xfId="1" quotePrefix="1" applyFont="1" applyFill="1" applyBorder="1" applyAlignment="1">
      <alignment vertical="center" wrapText="1"/>
    </xf>
    <xf numFmtId="43" fontId="9" fillId="0" borderId="9" xfId="1" applyFont="1" applyFill="1" applyBorder="1" applyAlignment="1">
      <alignment vertical="center"/>
    </xf>
    <xf numFmtId="43" fontId="9" fillId="0" borderId="9" xfId="1" applyFont="1" applyFill="1" applyBorder="1" applyAlignment="1">
      <alignment horizontal="center" vertical="center"/>
    </xf>
    <xf numFmtId="43" fontId="9" fillId="0" borderId="11" xfId="1" applyFont="1" applyBorder="1" applyAlignment="1">
      <alignment vertical="center" wrapText="1"/>
    </xf>
    <xf numFmtId="0" fontId="9" fillId="0" borderId="9" xfId="0" applyFont="1" applyFill="1" applyBorder="1" applyAlignment="1">
      <alignment vertical="center"/>
    </xf>
    <xf numFmtId="43" fontId="9" fillId="0" borderId="9" xfId="1" applyFont="1" applyFill="1" applyBorder="1" applyAlignment="1">
      <alignment horizontal="right" vertical="center"/>
    </xf>
    <xf numFmtId="0" fontId="9" fillId="0" borderId="9" xfId="0" applyFont="1" applyFill="1" applyBorder="1" applyAlignment="1">
      <alignment vertical="center" wrapText="1"/>
    </xf>
    <xf numFmtId="0" fontId="7" fillId="0" borderId="13" xfId="7" applyFont="1" applyBorder="1" applyAlignment="1">
      <alignment horizontal="center" vertical="center" wrapText="1"/>
    </xf>
    <xf numFmtId="0" fontId="7" fillId="2" borderId="9" xfId="7" quotePrefix="1" applyFont="1" applyFill="1" applyBorder="1" applyAlignment="1">
      <alignment vertical="center"/>
    </xf>
    <xf numFmtId="3" fontId="7" fillId="2" borderId="9" xfId="7" applyNumberFormat="1" applyFont="1" applyFill="1" applyBorder="1" applyAlignment="1">
      <alignment vertical="center"/>
    </xf>
    <xf numFmtId="43" fontId="7" fillId="2" borderId="9" xfId="1" applyFont="1" applyFill="1" applyBorder="1" applyAlignment="1">
      <alignment vertical="center"/>
    </xf>
    <xf numFmtId="49" fontId="9" fillId="2" borderId="9" xfId="0" quotePrefix="1" applyNumberFormat="1" applyFont="1" applyFill="1" applyBorder="1" applyAlignment="1">
      <alignment vertical="center" wrapText="1"/>
    </xf>
    <xf numFmtId="0" fontId="9" fillId="2" borderId="9" xfId="7" applyFont="1" applyFill="1" applyBorder="1" applyAlignment="1">
      <alignment vertical="center"/>
    </xf>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7" fillId="2" borderId="10" xfId="7" quotePrefix="1" applyFont="1" applyFill="1" applyBorder="1" applyAlignment="1">
      <alignment horizontal="center" vertical="center"/>
    </xf>
    <xf numFmtId="43" fontId="7" fillId="2" borderId="10" xfId="1" quotePrefix="1" applyFont="1" applyFill="1" applyBorder="1" applyAlignment="1">
      <alignment horizontal="center" vertical="center"/>
    </xf>
    <xf numFmtId="0" fontId="7" fillId="2" borderId="10" xfId="0" applyFont="1" applyFill="1" applyBorder="1" applyAlignment="1">
      <alignment horizontal="center" vertical="center" wrapText="1"/>
    </xf>
    <xf numFmtId="43" fontId="7" fillId="2" borderId="10" xfId="1" applyFont="1" applyFill="1" applyBorder="1" applyAlignment="1">
      <alignment horizontal="center" vertical="center" wrapText="1"/>
    </xf>
    <xf numFmtId="49" fontId="7" fillId="2" borderId="9" xfId="10" applyNumberFormat="1" applyFont="1" applyFill="1" applyBorder="1" applyAlignment="1">
      <alignment vertical="center"/>
    </xf>
    <xf numFmtId="43" fontId="7" fillId="2" borderId="9" xfId="1" applyFont="1" applyFill="1" applyBorder="1" applyAlignment="1">
      <alignment vertical="center" wrapText="1"/>
    </xf>
    <xf numFmtId="37" fontId="7" fillId="2" borderId="10" xfId="0" applyNumberFormat="1" applyFont="1" applyFill="1" applyBorder="1" applyAlignment="1">
      <alignment horizontal="center" vertical="center" wrapText="1"/>
    </xf>
    <xf numFmtId="0" fontId="9" fillId="0" borderId="9" xfId="0" applyFont="1" applyBorder="1" applyAlignment="1">
      <alignment horizontal="left" vertical="center" wrapText="1"/>
    </xf>
    <xf numFmtId="0" fontId="8" fillId="2" borderId="9" xfId="7" quotePrefix="1" applyFont="1" applyFill="1" applyBorder="1" applyAlignment="1">
      <alignment vertical="center"/>
    </xf>
    <xf numFmtId="3" fontId="8" fillId="2" borderId="9" xfId="7" applyNumberFormat="1" applyFont="1" applyFill="1" applyBorder="1" applyAlignment="1">
      <alignment vertical="center"/>
    </xf>
    <xf numFmtId="43" fontId="7" fillId="2" borderId="9" xfId="1" applyFont="1" applyFill="1" applyBorder="1" applyAlignment="1">
      <alignment horizontal="right" vertical="center" wrapText="1"/>
    </xf>
    <xf numFmtId="0" fontId="7" fillId="2" borderId="0" xfId="7" applyFont="1" applyFill="1" applyAlignment="1">
      <alignment vertical="center"/>
    </xf>
    <xf numFmtId="0" fontId="9" fillId="0" borderId="9" xfId="11" applyFont="1" applyBorder="1" applyAlignment="1">
      <alignment horizontal="left" vertical="center" wrapText="1"/>
    </xf>
    <xf numFmtId="169" fontId="9" fillId="2" borderId="9" xfId="0" applyNumberFormat="1" applyFont="1" applyFill="1" applyBorder="1" applyAlignment="1">
      <alignment horizontal="center" vertical="center" wrapText="1"/>
    </xf>
    <xf numFmtId="0" fontId="9" fillId="2" borderId="9" xfId="9" applyFont="1" applyFill="1" applyBorder="1" applyAlignment="1">
      <alignment horizontal="left" vertical="center" wrapText="1"/>
    </xf>
    <xf numFmtId="169" fontId="7" fillId="2" borderId="9" xfId="12" applyNumberFormat="1" applyFont="1" applyFill="1" applyBorder="1" applyAlignment="1">
      <alignment horizontal="center" vertical="center" wrapText="1"/>
    </xf>
    <xf numFmtId="169" fontId="9" fillId="2" borderId="9" xfId="12" applyNumberFormat="1" applyFont="1" applyFill="1" applyBorder="1" applyAlignment="1">
      <alignment horizontal="center" vertical="center" wrapText="1"/>
    </xf>
    <xf numFmtId="49" fontId="7" fillId="2" borderId="9" xfId="13" quotePrefix="1" applyNumberFormat="1" applyFont="1" applyFill="1" applyBorder="1" applyAlignment="1">
      <alignment vertical="center" wrapText="1"/>
    </xf>
    <xf numFmtId="4" fontId="7" fillId="2" borderId="9" xfId="0" applyNumberFormat="1" applyFont="1" applyFill="1" applyBorder="1" applyAlignment="1">
      <alignment horizontal="right" vertical="center" wrapText="1"/>
    </xf>
    <xf numFmtId="49" fontId="9" fillId="0" borderId="0" xfId="7" applyNumberFormat="1" applyFont="1" applyAlignment="1">
      <alignment vertical="center"/>
    </xf>
    <xf numFmtId="169" fontId="9" fillId="0" borderId="0" xfId="7" applyNumberFormat="1" applyFont="1" applyAlignment="1">
      <alignment vertical="center"/>
    </xf>
    <xf numFmtId="169" fontId="9" fillId="0" borderId="0" xfId="7" applyNumberFormat="1" applyFont="1" applyAlignment="1">
      <alignment horizontal="centerContinuous"/>
    </xf>
    <xf numFmtId="169" fontId="7" fillId="0" borderId="0" xfId="7" applyNumberFormat="1" applyFont="1" applyAlignment="1">
      <alignment horizontal="centerContinuous" vertical="center"/>
    </xf>
    <xf numFmtId="0" fontId="9" fillId="0" borderId="0" xfId="7" applyFont="1" applyAlignment="1">
      <alignment horizontal="left" vertical="center"/>
    </xf>
    <xf numFmtId="0" fontId="9" fillId="0" borderId="0" xfId="7" quotePrefix="1" applyFont="1" applyAlignment="1">
      <alignment vertical="center" wrapText="1"/>
    </xf>
    <xf numFmtId="0" fontId="9" fillId="0" borderId="0" xfId="14" applyFont="1" applyAlignment="1">
      <alignment horizontal="center" vertical="center"/>
    </xf>
    <xf numFmtId="169" fontId="9" fillId="0" borderId="0" xfId="7" applyNumberFormat="1" applyFont="1" applyAlignment="1">
      <alignment horizontal="centerContinuous" vertical="center" wrapText="1"/>
    </xf>
    <xf numFmtId="0" fontId="9" fillId="0" borderId="0" xfId="7" applyFont="1" applyAlignment="1">
      <alignment horizontal="center" vertical="center" wrapText="1"/>
    </xf>
    <xf numFmtId="0" fontId="9" fillId="0" borderId="0" xfId="7" quotePrefix="1" applyFont="1" applyAlignment="1">
      <alignment horizontal="left" vertical="center" wrapText="1"/>
    </xf>
    <xf numFmtId="180" fontId="7" fillId="2" borderId="0" xfId="1" applyNumberFormat="1" applyFont="1" applyFill="1" applyAlignment="1">
      <alignment vertical="center" wrapText="1"/>
    </xf>
    <xf numFmtId="43" fontId="7" fillId="2" borderId="0" xfId="1" applyFont="1" applyFill="1" applyAlignment="1">
      <alignment vertical="center" wrapText="1"/>
    </xf>
    <xf numFmtId="171" fontId="7" fillId="2" borderId="0" xfId="0" applyNumberFormat="1" applyFont="1" applyFill="1" applyAlignment="1">
      <alignment vertical="center" wrapText="1"/>
    </xf>
    <xf numFmtId="0" fontId="15" fillId="0" borderId="0" xfId="0" applyFont="1" applyFill="1"/>
    <xf numFmtId="165" fontId="14" fillId="0" borderId="0" xfId="0" applyNumberFormat="1" applyFont="1" applyFill="1" applyAlignment="1"/>
    <xf numFmtId="165" fontId="14" fillId="0" borderId="0" xfId="0" applyNumberFormat="1" applyFont="1" applyFill="1" applyAlignment="1">
      <alignment horizontal="right"/>
    </xf>
    <xf numFmtId="0" fontId="14" fillId="0" borderId="0" xfId="0" applyFont="1" applyFill="1" applyAlignment="1">
      <alignment horizontal="center" vertical="center"/>
    </xf>
    <xf numFmtId="0" fontId="14" fillId="0" borderId="0" xfId="0" applyFont="1" applyFill="1" applyAlignment="1">
      <alignment horizontal="left"/>
    </xf>
    <xf numFmtId="165" fontId="14" fillId="0" borderId="0" xfId="0" applyNumberFormat="1" applyFont="1" applyFill="1" applyAlignment="1">
      <alignment horizontal="center"/>
    </xf>
    <xf numFmtId="3" fontId="16" fillId="0" borderId="0" xfId="0" applyNumberFormat="1" applyFont="1" applyFill="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center"/>
    </xf>
    <xf numFmtId="0" fontId="14"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7" fillId="0" borderId="0" xfId="0" applyFont="1" applyFill="1"/>
    <xf numFmtId="0" fontId="18"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183" fontId="14" fillId="0" borderId="9" xfId="1" applyNumberFormat="1" applyFont="1" applyFill="1" applyBorder="1" applyAlignment="1">
      <alignment horizontal="right" vertical="center" wrapText="1"/>
    </xf>
    <xf numFmtId="0" fontId="14" fillId="0" borderId="9" xfId="0" applyFont="1" applyFill="1" applyBorder="1" applyAlignment="1">
      <alignment horizontal="left" vertical="center" wrapText="1"/>
    </xf>
    <xf numFmtId="164" fontId="14" fillId="0" borderId="9" xfId="0" applyNumberFormat="1" applyFont="1" applyFill="1" applyBorder="1" applyAlignment="1">
      <alignment horizontal="right" vertical="center" wrapText="1"/>
    </xf>
    <xf numFmtId="179" fontId="15" fillId="0" borderId="0" xfId="0" applyNumberFormat="1" applyFont="1" applyFill="1"/>
    <xf numFmtId="0" fontId="14" fillId="0" borderId="9" xfId="0" quotePrefix="1" applyFont="1" applyFill="1" applyBorder="1" applyAlignment="1">
      <alignment horizontal="center" vertical="center" wrapText="1"/>
    </xf>
    <xf numFmtId="0" fontId="19" fillId="0" borderId="9" xfId="0" applyFont="1" applyFill="1" applyBorder="1" applyAlignment="1">
      <alignment horizontal="left" vertical="center" wrapText="1"/>
    </xf>
    <xf numFmtId="183" fontId="19" fillId="0" borderId="9" xfId="1" applyNumberFormat="1" applyFont="1" applyFill="1" applyBorder="1" applyAlignment="1">
      <alignment horizontal="right" vertical="center" wrapText="1"/>
    </xf>
    <xf numFmtId="183" fontId="9" fillId="0" borderId="9" xfId="1" applyNumberFormat="1" applyFont="1" applyFill="1" applyBorder="1" applyAlignment="1">
      <alignment horizontal="right" vertical="center"/>
    </xf>
    <xf numFmtId="164" fontId="19" fillId="0" borderId="9" xfId="0" applyNumberFormat="1" applyFont="1" applyFill="1" applyBorder="1" applyAlignment="1">
      <alignment horizontal="center" vertical="center" wrapText="1"/>
    </xf>
    <xf numFmtId="0" fontId="20" fillId="0" borderId="0" xfId="0" applyFont="1" applyFill="1"/>
    <xf numFmtId="3" fontId="19" fillId="0" borderId="9" xfId="5" quotePrefix="1" applyNumberFormat="1" applyFont="1" applyFill="1" applyBorder="1" applyAlignment="1">
      <alignment horizontal="center" vertical="center" wrapText="1"/>
    </xf>
    <xf numFmtId="3" fontId="19" fillId="0" borderId="9" xfId="5" applyNumberFormat="1" applyFont="1" applyFill="1" applyBorder="1" applyAlignment="1">
      <alignment vertical="center" wrapText="1"/>
    </xf>
    <xf numFmtId="164" fontId="19" fillId="0" borderId="9" xfId="5" applyNumberFormat="1" applyFont="1" applyFill="1" applyBorder="1" applyAlignment="1">
      <alignment vertical="center" wrapText="1"/>
    </xf>
    <xf numFmtId="3" fontId="16" fillId="0" borderId="9" xfId="5" quotePrefix="1" applyNumberFormat="1" applyFont="1" applyFill="1" applyBorder="1" applyAlignment="1">
      <alignment horizontal="center" vertical="center" wrapText="1"/>
    </xf>
    <xf numFmtId="3" fontId="16" fillId="0" borderId="9" xfId="5" applyNumberFormat="1" applyFont="1" applyFill="1" applyBorder="1" applyAlignment="1">
      <alignment vertical="center" wrapText="1"/>
    </xf>
    <xf numFmtId="183" fontId="16" fillId="0" borderId="9" xfId="1" applyNumberFormat="1" applyFont="1" applyFill="1" applyBorder="1" applyAlignment="1">
      <alignment horizontal="right" vertical="center" wrapText="1"/>
    </xf>
    <xf numFmtId="164" fontId="16" fillId="0" borderId="9" xfId="5" applyNumberFormat="1" applyFont="1" applyFill="1" applyBorder="1" applyAlignment="1">
      <alignment vertical="center" wrapText="1"/>
    </xf>
    <xf numFmtId="181" fontId="17" fillId="0" borderId="0" xfId="0" applyNumberFormat="1" applyFont="1" applyFill="1"/>
    <xf numFmtId="182" fontId="17" fillId="0" borderId="0" xfId="0" applyNumberFormat="1" applyFont="1" applyFill="1"/>
    <xf numFmtId="43" fontId="15" fillId="0" borderId="0" xfId="0" applyNumberFormat="1" applyFont="1" applyFill="1"/>
    <xf numFmtId="0" fontId="14" fillId="0" borderId="9" xfId="0" applyFont="1" applyFill="1" applyBorder="1" applyAlignment="1">
      <alignment horizontal="center" vertical="center"/>
    </xf>
    <xf numFmtId="0" fontId="14" fillId="0" borderId="9" xfId="0" applyFont="1" applyFill="1" applyBorder="1" applyAlignment="1">
      <alignment vertical="center"/>
    </xf>
    <xf numFmtId="0" fontId="14" fillId="0" borderId="0" xfId="0" applyFont="1" applyFill="1"/>
    <xf numFmtId="3" fontId="14" fillId="0" borderId="12" xfId="5" quotePrefix="1" applyNumberFormat="1" applyFont="1" applyFill="1" applyBorder="1" applyAlignment="1">
      <alignment horizontal="center" vertical="center" wrapText="1"/>
    </xf>
    <xf numFmtId="0" fontId="14" fillId="0" borderId="12" xfId="0" applyFont="1" applyFill="1" applyBorder="1" applyAlignment="1">
      <alignment horizontal="left" vertical="center" wrapText="1"/>
    </xf>
    <xf numFmtId="183" fontId="14" fillId="0" borderId="12" xfId="1" applyNumberFormat="1" applyFont="1" applyFill="1" applyBorder="1" applyAlignment="1">
      <alignment horizontal="right" vertical="center" wrapText="1"/>
    </xf>
    <xf numFmtId="164" fontId="14" fillId="0" borderId="12" xfId="5" applyNumberFormat="1" applyFont="1" applyFill="1" applyBorder="1" applyAlignment="1">
      <alignment vertical="center" wrapText="1"/>
    </xf>
    <xf numFmtId="0" fontId="15" fillId="0" borderId="0" xfId="0" applyFont="1" applyFill="1" applyAlignment="1">
      <alignment horizontal="center" vertical="center"/>
    </xf>
    <xf numFmtId="172" fontId="7" fillId="0" borderId="0" xfId="1" applyNumberFormat="1" applyFont="1" applyFill="1" applyAlignment="1">
      <alignment horizontal="right"/>
    </xf>
    <xf numFmtId="0" fontId="9" fillId="0" borderId="0" xfId="0" applyFont="1" applyFill="1"/>
    <xf numFmtId="3" fontId="7" fillId="0" borderId="0" xfId="5" applyNumberFormat="1" applyFont="1" applyFill="1" applyAlignment="1">
      <alignment horizontal="left"/>
    </xf>
    <xf numFmtId="172" fontId="7" fillId="0" borderId="0" xfId="1" applyNumberFormat="1" applyFont="1" applyFill="1" applyAlignment="1"/>
    <xf numFmtId="0" fontId="7" fillId="0" borderId="0" xfId="5" applyNumberFormat="1" applyFont="1" applyFill="1" applyAlignment="1">
      <alignment horizontal="center" vertical="center"/>
    </xf>
    <xf numFmtId="3" fontId="7" fillId="0" borderId="0" xfId="5" applyNumberFormat="1" applyFont="1" applyFill="1" applyAlignment="1">
      <alignment horizontal="center"/>
    </xf>
    <xf numFmtId="3" fontId="8" fillId="0" borderId="0" xfId="5" applyNumberFormat="1" applyFont="1" applyFill="1" applyAlignment="1">
      <alignment horizontal="right"/>
    </xf>
    <xf numFmtId="0" fontId="7" fillId="0" borderId="3" xfId="5" applyNumberFormat="1" applyFont="1" applyFill="1" applyBorder="1" applyAlignment="1">
      <alignment horizontal="center" vertical="center" wrapText="1"/>
    </xf>
    <xf numFmtId="3" fontId="7" fillId="0" borderId="3" xfId="5" applyNumberFormat="1" applyFont="1" applyFill="1" applyBorder="1" applyAlignment="1">
      <alignment horizontal="center" vertical="center" wrapText="1"/>
    </xf>
    <xf numFmtId="172" fontId="7" fillId="0" borderId="3"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xf>
    <xf numFmtId="169" fontId="7" fillId="0" borderId="8" xfId="1" applyNumberFormat="1" applyFont="1" applyFill="1" applyBorder="1" applyAlignment="1">
      <alignment horizontal="center" vertical="center" wrapText="1"/>
    </xf>
    <xf numFmtId="183" fontId="7" fillId="0" borderId="8" xfId="1" applyNumberFormat="1" applyFont="1" applyFill="1" applyBorder="1" applyAlignment="1">
      <alignment horizontal="right" vertical="center"/>
    </xf>
    <xf numFmtId="169" fontId="7" fillId="0" borderId="8" xfId="1" applyNumberFormat="1" applyFont="1" applyFill="1" applyBorder="1" applyAlignment="1">
      <alignment horizontal="right" vertical="center"/>
    </xf>
    <xf numFmtId="169" fontId="9" fillId="0" borderId="0" xfId="1" applyNumberFormat="1" applyFont="1" applyFill="1" applyAlignment="1"/>
    <xf numFmtId="167" fontId="9" fillId="0" borderId="0" xfId="1" applyNumberFormat="1" applyFont="1" applyFill="1" applyAlignment="1"/>
    <xf numFmtId="0" fontId="7" fillId="0" borderId="9" xfId="1" applyNumberFormat="1" applyFont="1" applyFill="1" applyBorder="1" applyAlignment="1">
      <alignment horizontal="center" vertical="center"/>
    </xf>
    <xf numFmtId="169" fontId="7" fillId="0" borderId="9" xfId="1" applyNumberFormat="1" applyFont="1" applyFill="1" applyBorder="1" applyAlignment="1">
      <alignment wrapText="1"/>
    </xf>
    <xf numFmtId="183" fontId="7" fillId="0" borderId="9" xfId="1" applyNumberFormat="1" applyFont="1" applyFill="1" applyBorder="1" applyAlignment="1">
      <alignment horizontal="right" vertical="center"/>
    </xf>
    <xf numFmtId="169" fontId="7" fillId="0" borderId="9" xfId="1" applyNumberFormat="1" applyFont="1" applyFill="1" applyBorder="1" applyAlignment="1">
      <alignment horizontal="right" vertical="center"/>
    </xf>
    <xf numFmtId="0" fontId="9" fillId="0" borderId="9" xfId="1" applyNumberFormat="1" applyFont="1" applyFill="1" applyBorder="1" applyAlignment="1">
      <alignment horizontal="center" vertical="center"/>
    </xf>
    <xf numFmtId="169" fontId="9" fillId="0" borderId="9" xfId="1" applyNumberFormat="1" applyFont="1" applyFill="1" applyBorder="1" applyAlignment="1">
      <alignment vertical="center" wrapText="1"/>
    </xf>
    <xf numFmtId="169" fontId="9" fillId="0" borderId="0" xfId="1" applyNumberFormat="1" applyFont="1" applyFill="1" applyAlignment="1">
      <alignment vertical="center"/>
    </xf>
    <xf numFmtId="0" fontId="9" fillId="0" borderId="9" xfId="1" quotePrefix="1" applyNumberFormat="1" applyFont="1" applyFill="1" applyBorder="1" applyAlignment="1">
      <alignment horizontal="center" vertical="center"/>
    </xf>
    <xf numFmtId="169" fontId="9" fillId="0" borderId="9" xfId="1" applyNumberFormat="1" applyFont="1" applyFill="1" applyBorder="1" applyAlignment="1">
      <alignment wrapText="1"/>
    </xf>
    <xf numFmtId="169" fontId="9" fillId="0" borderId="9" xfId="1" applyNumberFormat="1" applyFont="1" applyFill="1" applyBorder="1" applyAlignment="1">
      <alignment horizontal="right" vertical="center"/>
    </xf>
    <xf numFmtId="183" fontId="9" fillId="2" borderId="9" xfId="1" applyNumberFormat="1" applyFont="1" applyFill="1" applyBorder="1" applyAlignment="1">
      <alignment horizontal="center" vertical="center" wrapText="1"/>
    </xf>
    <xf numFmtId="169" fontId="7" fillId="0" borderId="0" xfId="1" applyNumberFormat="1" applyFont="1" applyFill="1" applyAlignment="1"/>
    <xf numFmtId="169" fontId="7" fillId="0" borderId="9" xfId="1" applyNumberFormat="1" applyFont="1" applyFill="1" applyBorder="1" applyAlignment="1">
      <alignment horizontal="left" wrapText="1"/>
    </xf>
    <xf numFmtId="0" fontId="7" fillId="0" borderId="9" xfId="1"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183" fontId="7" fillId="2" borderId="9" xfId="1" applyNumberFormat="1" applyFont="1" applyFill="1" applyBorder="1" applyAlignment="1">
      <alignment horizontal="right" vertical="center"/>
    </xf>
    <xf numFmtId="169" fontId="7" fillId="2" borderId="9" xfId="1" applyNumberFormat="1" applyFont="1" applyFill="1" applyBorder="1" applyAlignment="1">
      <alignment horizontal="right" vertical="center"/>
    </xf>
    <xf numFmtId="169" fontId="7" fillId="2" borderId="0" xfId="1" applyNumberFormat="1" applyFont="1" applyFill="1" applyAlignment="1"/>
    <xf numFmtId="0" fontId="9" fillId="2" borderId="9" xfId="1" applyNumberFormat="1" applyFont="1" applyFill="1" applyBorder="1" applyAlignment="1">
      <alignment horizontal="center" vertical="center" wrapText="1"/>
    </xf>
    <xf numFmtId="3" fontId="9" fillId="0" borderId="9" xfId="5" applyNumberFormat="1" applyFont="1" applyFill="1" applyBorder="1" applyAlignment="1">
      <alignment vertical="center" wrapText="1"/>
    </xf>
    <xf numFmtId="183" fontId="9" fillId="0" borderId="9" xfId="1" applyNumberFormat="1" applyFont="1" applyFill="1" applyBorder="1" applyAlignment="1">
      <alignment horizontal="right" vertical="center" wrapText="1"/>
    </xf>
    <xf numFmtId="183" fontId="9" fillId="2" borderId="9" xfId="1" applyNumberFormat="1" applyFont="1" applyFill="1" applyBorder="1" applyAlignment="1">
      <alignment horizontal="right" vertical="center"/>
    </xf>
    <xf numFmtId="169" fontId="9" fillId="2" borderId="9" xfId="1" applyNumberFormat="1" applyFont="1" applyFill="1" applyBorder="1" applyAlignment="1">
      <alignment horizontal="right" vertical="center"/>
    </xf>
    <xf numFmtId="3" fontId="8" fillId="0" borderId="9" xfId="5" applyNumberFormat="1" applyFont="1" applyFill="1" applyBorder="1" applyAlignment="1">
      <alignment vertical="center" wrapText="1"/>
    </xf>
    <xf numFmtId="183" fontId="8" fillId="0" borderId="9" xfId="1" applyNumberFormat="1" applyFont="1" applyFill="1" applyBorder="1" applyAlignment="1">
      <alignment horizontal="right" vertical="center" wrapText="1"/>
    </xf>
    <xf numFmtId="169" fontId="7" fillId="0" borderId="9" xfId="1" applyNumberFormat="1" applyFont="1" applyFill="1" applyBorder="1" applyAlignment="1">
      <alignment horizontal="left" vertical="center" wrapText="1"/>
    </xf>
    <xf numFmtId="169" fontId="7" fillId="0" borderId="9" xfId="0" applyNumberFormat="1" applyFont="1" applyFill="1" applyBorder="1" applyAlignment="1">
      <alignment horizontal="right" vertical="center"/>
    </xf>
    <xf numFmtId="0" fontId="7" fillId="0" borderId="0" xfId="0" applyFont="1" applyFill="1"/>
    <xf numFmtId="0" fontId="9" fillId="0" borderId="12" xfId="0" quotePrefix="1" applyFont="1" applyFill="1" applyBorder="1" applyAlignment="1">
      <alignment horizontal="center" vertical="center"/>
    </xf>
    <xf numFmtId="0" fontId="9" fillId="0" borderId="12" xfId="0" applyFont="1" applyFill="1" applyBorder="1" applyAlignment="1">
      <alignment horizontal="left" vertical="center" wrapText="1"/>
    </xf>
    <xf numFmtId="183" fontId="9" fillId="0" borderId="12" xfId="1" applyNumberFormat="1" applyFont="1" applyFill="1" applyBorder="1" applyAlignment="1">
      <alignment vertical="center" wrapText="1"/>
    </xf>
    <xf numFmtId="173" fontId="9" fillId="0" borderId="12" xfId="1" applyNumberFormat="1" applyFont="1" applyFill="1" applyBorder="1" applyAlignment="1">
      <alignment vertical="center" wrapText="1"/>
    </xf>
    <xf numFmtId="0" fontId="9" fillId="0" borderId="0" xfId="0" applyNumberFormat="1" applyFont="1" applyFill="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right" vertical="center"/>
    </xf>
    <xf numFmtId="0" fontId="7" fillId="0" borderId="0" xfId="0" applyFont="1" applyAlignment="1">
      <alignment vertical="center"/>
    </xf>
    <xf numFmtId="168" fontId="8" fillId="0" borderId="0" xfId="0" applyNumberFormat="1" applyFont="1" applyFill="1" applyAlignment="1">
      <alignment horizontal="right"/>
    </xf>
    <xf numFmtId="0" fontId="7" fillId="0" borderId="9" xfId="0" applyFont="1" applyFill="1" applyBorder="1" applyAlignment="1">
      <alignment vertical="center"/>
    </xf>
    <xf numFmtId="169" fontId="7" fillId="0" borderId="9" xfId="1" applyNumberFormat="1" applyFont="1" applyFill="1" applyBorder="1" applyAlignment="1">
      <alignment vertical="center"/>
    </xf>
    <xf numFmtId="168" fontId="7" fillId="0" borderId="0" xfId="0" applyNumberFormat="1" applyFont="1" applyFill="1"/>
    <xf numFmtId="169" fontId="9" fillId="0" borderId="9" xfId="1" applyNumberFormat="1" applyFont="1" applyFill="1" applyBorder="1" applyAlignment="1">
      <alignment vertical="center"/>
    </xf>
    <xf numFmtId="0" fontId="9" fillId="0" borderId="9" xfId="0" quotePrefix="1" applyFont="1" applyFill="1" applyBorder="1" applyAlignment="1">
      <alignment vertical="center"/>
    </xf>
    <xf numFmtId="169" fontId="9" fillId="0" borderId="9" xfId="1" quotePrefix="1" applyNumberFormat="1" applyFont="1" applyFill="1" applyBorder="1" applyAlignment="1">
      <alignment vertical="center"/>
    </xf>
    <xf numFmtId="0" fontId="8" fillId="0" borderId="0" xfId="0" applyFont="1" applyFill="1"/>
    <xf numFmtId="168" fontId="8" fillId="0" borderId="0" xfId="0" applyNumberFormat="1" applyFont="1" applyFill="1"/>
    <xf numFmtId="0" fontId="8" fillId="0" borderId="9" xfId="0" applyFont="1" applyFill="1" applyBorder="1" applyAlignment="1">
      <alignment vertical="center"/>
    </xf>
    <xf numFmtId="169" fontId="8" fillId="0" borderId="9" xfId="1" applyNumberFormat="1" applyFont="1" applyFill="1" applyBorder="1" applyAlignment="1">
      <alignment vertical="center"/>
    </xf>
    <xf numFmtId="0" fontId="8" fillId="0" borderId="9" xfId="0" quotePrefix="1" applyFont="1" applyFill="1" applyBorder="1" applyAlignment="1">
      <alignment vertical="center"/>
    </xf>
    <xf numFmtId="169" fontId="8" fillId="0" borderId="9" xfId="1" quotePrefix="1" applyNumberFormat="1" applyFont="1" applyFill="1" applyBorder="1" applyAlignment="1">
      <alignment vertical="center"/>
    </xf>
    <xf numFmtId="170" fontId="8" fillId="0" borderId="9" xfId="0" applyNumberFormat="1" applyFont="1" applyFill="1" applyBorder="1" applyAlignment="1">
      <alignment vertical="center"/>
    </xf>
    <xf numFmtId="43" fontId="7" fillId="0" borderId="9" xfId="1" applyFont="1" applyFill="1" applyBorder="1" applyAlignment="1">
      <alignment horizontal="right" vertical="center"/>
    </xf>
    <xf numFmtId="43" fontId="8" fillId="0" borderId="9" xfId="1" applyFont="1" applyFill="1" applyBorder="1" applyAlignment="1">
      <alignment horizontal="right" vertical="center"/>
    </xf>
    <xf numFmtId="0" fontId="7" fillId="0" borderId="12" xfId="0" applyFont="1" applyFill="1" applyBorder="1" applyAlignment="1">
      <alignment horizontal="center" vertical="center"/>
    </xf>
    <xf numFmtId="171" fontId="7" fillId="0" borderId="12" xfId="0" applyNumberFormat="1" applyFont="1" applyFill="1" applyBorder="1" applyAlignment="1">
      <alignment horizontal="center" vertical="center"/>
    </xf>
    <xf numFmtId="169" fontId="7" fillId="0" borderId="12" xfId="0" applyNumberFormat="1" applyFont="1" applyFill="1" applyBorder="1" applyAlignment="1">
      <alignment vertical="center"/>
    </xf>
    <xf numFmtId="168" fontId="9" fillId="0" borderId="0" xfId="0" applyNumberFormat="1" applyFont="1" applyFill="1"/>
    <xf numFmtId="170" fontId="9" fillId="0" borderId="0" xfId="0" applyNumberFormat="1" applyFont="1" applyFill="1"/>
    <xf numFmtId="3" fontId="9" fillId="0" borderId="0" xfId="0" applyNumberFormat="1" applyFont="1" applyFill="1"/>
    <xf numFmtId="4" fontId="9" fillId="0" borderId="0" xfId="0" applyNumberFormat="1" applyFont="1" applyFill="1"/>
    <xf numFmtId="0" fontId="9" fillId="0" borderId="0" xfId="0" applyFont="1"/>
    <xf numFmtId="0" fontId="9" fillId="2" borderId="0" xfId="0" applyFont="1" applyFill="1"/>
    <xf numFmtId="0" fontId="7" fillId="0" borderId="0" xfId="0" applyFont="1" applyAlignment="1">
      <alignment horizontal="center"/>
    </xf>
    <xf numFmtId="3" fontId="7" fillId="0" borderId="0" xfId="0" applyNumberFormat="1" applyFont="1" applyAlignment="1">
      <alignment horizontal="center"/>
    </xf>
    <xf numFmtId="0" fontId="9" fillId="0" borderId="1" xfId="0" applyFont="1" applyBorder="1" applyAlignment="1"/>
    <xf numFmtId="0" fontId="9" fillId="0" borderId="1" xfId="0" applyFont="1" applyBorder="1" applyAlignment="1">
      <alignment horizontal="right"/>
    </xf>
    <xf numFmtId="0" fontId="9" fillId="0" borderId="0" xfId="0" applyFont="1" applyBorder="1" applyAlignment="1">
      <alignment horizontal="right"/>
    </xf>
    <xf numFmtId="3" fontId="9" fillId="0" borderId="0" xfId="0" applyNumberFormat="1" applyFont="1"/>
    <xf numFmtId="3" fontId="9" fillId="2" borderId="0" xfId="0" applyNumberFormat="1" applyFont="1" applyFill="1"/>
    <xf numFmtId="0" fontId="9" fillId="0" borderId="2" xfId="0" applyFont="1" applyFill="1" applyBorder="1" applyAlignment="1">
      <alignment horizontal="center"/>
    </xf>
    <xf numFmtId="0" fontId="9" fillId="0" borderId="0" xfId="0" applyFont="1" applyBorder="1" applyAlignment="1">
      <alignment horizontal="center"/>
    </xf>
    <xf numFmtId="0" fontId="9" fillId="0" borderId="6" xfId="0" applyFont="1" applyFill="1" applyBorder="1"/>
    <xf numFmtId="0" fontId="8" fillId="0" borderId="3" xfId="0" applyFont="1" applyFill="1" applyBorder="1" applyAlignment="1">
      <alignment horizontal="center" vertical="center" wrapText="1"/>
    </xf>
    <xf numFmtId="0" fontId="9"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3" xfId="0" quotePrefix="1" applyFont="1" applyFill="1" applyBorder="1" applyAlignment="1">
      <alignment horizontal="center" vertical="center"/>
    </xf>
    <xf numFmtId="0" fontId="9" fillId="0" borderId="12" xfId="0" applyFont="1" applyFill="1" applyBorder="1" applyAlignment="1">
      <alignment horizontal="center" vertical="center" wrapText="1"/>
    </xf>
    <xf numFmtId="3" fontId="9" fillId="0" borderId="12" xfId="0" applyNumberFormat="1" applyFont="1" applyFill="1" applyBorder="1" applyAlignment="1">
      <alignment horizontal="right" vertical="center" wrapText="1"/>
    </xf>
    <xf numFmtId="3" fontId="9" fillId="0" borderId="12" xfId="3" applyNumberFormat="1" applyFont="1" applyFill="1" applyBorder="1" applyAlignment="1">
      <alignment horizontal="right" vertical="center" wrapText="1"/>
    </xf>
    <xf numFmtId="3" fontId="9" fillId="0" borderId="10" xfId="0" applyNumberFormat="1" applyFont="1" applyFill="1" applyBorder="1"/>
    <xf numFmtId="0" fontId="9" fillId="0" borderId="10" xfId="0" applyFont="1" applyFill="1" applyBorder="1"/>
    <xf numFmtId="3" fontId="9" fillId="0" borderId="11" xfId="0" applyNumberFormat="1" applyFont="1" applyFill="1" applyBorder="1"/>
    <xf numFmtId="3" fontId="9" fillId="0" borderId="9" xfId="0" applyNumberFormat="1" applyFont="1" applyFill="1" applyBorder="1"/>
    <xf numFmtId="3" fontId="9" fillId="5" borderId="9" xfId="0" applyNumberFormat="1" applyFont="1" applyFill="1" applyBorder="1"/>
    <xf numFmtId="164" fontId="9" fillId="0" borderId="9" xfId="0" applyNumberFormat="1" applyFont="1" applyFill="1" applyBorder="1"/>
    <xf numFmtId="164" fontId="9" fillId="2" borderId="9" xfId="0" applyNumberFormat="1" applyFont="1" applyFill="1" applyBorder="1"/>
    <xf numFmtId="164" fontId="9" fillId="0" borderId="10" xfId="0" applyNumberFormat="1" applyFont="1" applyFill="1" applyBorder="1"/>
    <xf numFmtId="0" fontId="8" fillId="0" borderId="0" xfId="0" applyFont="1"/>
    <xf numFmtId="0" fontId="22" fillId="0" borderId="0" xfId="0" applyFont="1" applyFill="1"/>
    <xf numFmtId="0" fontId="2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166" fontId="9" fillId="0" borderId="3" xfId="0" applyNumberFormat="1" applyFont="1" applyFill="1" applyBorder="1" applyAlignment="1">
      <alignment horizontal="right" vertical="center" wrapText="1"/>
    </xf>
    <xf numFmtId="0" fontId="25" fillId="0" borderId="3" xfId="0" applyFont="1" applyFill="1" applyBorder="1" applyAlignment="1">
      <alignment horizontal="right" vertical="center" wrapText="1"/>
    </xf>
    <xf numFmtId="0" fontId="25" fillId="0" borderId="0" xfId="0" applyFont="1" applyFill="1" applyAlignment="1">
      <alignment horizontal="center" vertical="center" wrapText="1"/>
    </xf>
    <xf numFmtId="0" fontId="25" fillId="0" borderId="0" xfId="0" applyFont="1" applyFill="1"/>
    <xf numFmtId="0" fontId="26" fillId="0" borderId="0" xfId="0" applyFont="1" applyFill="1"/>
    <xf numFmtId="0" fontId="27" fillId="0" borderId="0" xfId="0" applyFont="1" applyFill="1"/>
    <xf numFmtId="0" fontId="7" fillId="0" borderId="0" xfId="0" applyFont="1"/>
    <xf numFmtId="0" fontId="7" fillId="0" borderId="0" xfId="0" applyFont="1" applyFill="1" applyAlignment="1">
      <alignment horizontal="right" vertical="center"/>
    </xf>
    <xf numFmtId="0" fontId="28" fillId="0" borderId="0" xfId="0" applyFont="1" applyFill="1"/>
    <xf numFmtId="3" fontId="28" fillId="0" borderId="0" xfId="0" applyNumberFormat="1" applyFont="1" applyFill="1"/>
    <xf numFmtId="0" fontId="8" fillId="0" borderId="0" xfId="0" applyFont="1" applyFill="1" applyAlignment="1">
      <alignment horizontal="right" vertical="center"/>
    </xf>
    <xf numFmtId="0" fontId="7" fillId="0" borderId="3" xfId="0" applyFont="1" applyFill="1" applyBorder="1" applyAlignment="1">
      <alignment horizontal="center" vertical="center" wrapText="1"/>
    </xf>
    <xf numFmtId="3" fontId="9" fillId="0" borderId="3" xfId="0" applyNumberFormat="1" applyFont="1" applyFill="1" applyBorder="1" applyAlignment="1">
      <alignment horizontal="right" vertical="center" wrapText="1"/>
    </xf>
    <xf numFmtId="3" fontId="27" fillId="0" borderId="0" xfId="0" applyNumberFormat="1" applyFont="1" applyFill="1" applyAlignment="1">
      <alignment horizontal="center" vertical="center" wrapText="1"/>
    </xf>
    <xf numFmtId="0" fontId="27" fillId="0" borderId="0" xfId="0" applyFont="1" applyFill="1" applyAlignment="1">
      <alignment horizontal="center" vertical="center" wrapText="1"/>
    </xf>
    <xf numFmtId="3" fontId="27" fillId="0" borderId="0" xfId="0" applyNumberFormat="1" applyFont="1" applyFill="1"/>
    <xf numFmtId="0" fontId="9" fillId="0" borderId="0" xfId="0" applyFont="1" applyFill="1" applyBorder="1"/>
    <xf numFmtId="0" fontId="28" fillId="0" borderId="0" xfId="0" applyFont="1"/>
    <xf numFmtId="0" fontId="8" fillId="0" borderId="0" xfId="0" applyFont="1" applyAlignment="1">
      <alignment horizontal="right" vertical="center"/>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183" fontId="7" fillId="0" borderId="9" xfId="1" applyNumberFormat="1" applyFont="1" applyBorder="1" applyAlignment="1">
      <alignment horizontal="center" vertical="center" wrapText="1"/>
    </xf>
    <xf numFmtId="167" fontId="7" fillId="0" borderId="9" xfId="1" applyNumberFormat="1" applyFont="1" applyBorder="1" applyAlignment="1">
      <alignment horizontal="center" vertical="center" wrapText="1"/>
    </xf>
    <xf numFmtId="0" fontId="9" fillId="0" borderId="9" xfId="0" applyFont="1" applyBorder="1" applyAlignment="1">
      <alignment horizontal="center" vertical="center" wrapText="1"/>
    </xf>
    <xf numFmtId="183" fontId="9" fillId="0" borderId="9" xfId="1" applyNumberFormat="1" applyFont="1" applyBorder="1" applyAlignment="1">
      <alignment horizontal="center" vertical="center" wrapText="1"/>
    </xf>
    <xf numFmtId="167" fontId="9" fillId="0" borderId="9" xfId="1"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left" vertical="center" wrapText="1"/>
    </xf>
    <xf numFmtId="183" fontId="9" fillId="0" borderId="12" xfId="1" applyNumberFormat="1" applyFont="1" applyBorder="1" applyAlignment="1">
      <alignment horizontal="center" vertical="center" wrapText="1"/>
    </xf>
    <xf numFmtId="167" fontId="9" fillId="0" borderId="12" xfId="1" applyNumberFormat="1" applyFont="1" applyBorder="1" applyAlignment="1">
      <alignment horizontal="center" vertical="center" wrapText="1"/>
    </xf>
    <xf numFmtId="0" fontId="7" fillId="0" borderId="0" xfId="0" applyFont="1" applyFill="1" applyAlignment="1">
      <alignment horizontal="center" vertical="center"/>
    </xf>
    <xf numFmtId="0" fontId="29" fillId="0" borderId="0" xfId="0" applyFont="1"/>
    <xf numFmtId="0" fontId="8" fillId="2" borderId="13" xfId="0"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180" fontId="8" fillId="2" borderId="0" xfId="1" applyNumberFormat="1" applyFont="1" applyFill="1" applyAlignment="1">
      <alignment vertical="center" wrapText="1"/>
    </xf>
    <xf numFmtId="0" fontId="8" fillId="0" borderId="3" xfId="0" applyFont="1" applyFill="1" applyBorder="1" applyAlignment="1">
      <alignment horizontal="center" vertical="center"/>
    </xf>
    <xf numFmtId="0" fontId="8" fillId="0" borderId="3" xfId="0" quotePrefix="1" applyFont="1" applyBorder="1" applyAlignment="1">
      <alignment horizontal="center" vertical="center"/>
    </xf>
    <xf numFmtId="0" fontId="8" fillId="0" borderId="3" xfId="0" applyFont="1" applyBorder="1" applyAlignment="1">
      <alignment horizontal="center" vertical="center"/>
    </xf>
    <xf numFmtId="0" fontId="8" fillId="5" borderId="3" xfId="0" quotePrefix="1" applyFont="1" applyFill="1" applyBorder="1" applyAlignment="1">
      <alignment horizontal="center" vertical="center"/>
    </xf>
    <xf numFmtId="0" fontId="24" fillId="0" borderId="3" xfId="0" applyFont="1" applyFill="1" applyBorder="1" applyAlignment="1">
      <alignment horizontal="center" vertical="center" wrapText="1"/>
    </xf>
    <xf numFmtId="0" fontId="30" fillId="0" borderId="0" xfId="0" applyFont="1" applyFill="1"/>
    <xf numFmtId="0" fontId="8" fillId="0" borderId="3" xfId="0" quotePrefix="1" applyFont="1" applyFill="1" applyBorder="1" applyAlignment="1">
      <alignment horizontal="center" vertical="center" wrapText="1"/>
    </xf>
    <xf numFmtId="0" fontId="31" fillId="0" borderId="0" xfId="0" applyFont="1" applyFill="1"/>
    <xf numFmtId="0" fontId="8" fillId="0" borderId="8" xfId="0" applyFont="1" applyBorder="1" applyAlignment="1">
      <alignment horizontal="center" vertical="center" wrapText="1"/>
    </xf>
    <xf numFmtId="167" fontId="7" fillId="2" borderId="0" xfId="1" applyNumberFormat="1" applyFont="1" applyFill="1" applyAlignment="1">
      <alignment vertical="center" wrapText="1"/>
    </xf>
    <xf numFmtId="169" fontId="9" fillId="0" borderId="9" xfId="1" applyNumberFormat="1" applyFont="1" applyFill="1" applyBorder="1" applyAlignment="1">
      <alignment horizontal="center" vertical="center" wrapText="1"/>
    </xf>
    <xf numFmtId="169" fontId="8" fillId="2" borderId="9" xfId="1" applyNumberFormat="1" applyFont="1" applyFill="1" applyBorder="1" applyAlignment="1">
      <alignment horizontal="center" vertical="center" wrapText="1"/>
    </xf>
    <xf numFmtId="43" fontId="9" fillId="2" borderId="9" xfId="1" applyNumberFormat="1" applyFont="1" applyFill="1" applyBorder="1" applyAlignment="1">
      <alignment horizontal="center" vertical="center" wrapText="1"/>
    </xf>
    <xf numFmtId="172" fontId="9" fillId="2" borderId="9" xfId="1" applyNumberFormat="1" applyFont="1" applyFill="1" applyBorder="1" applyAlignment="1">
      <alignment horizontal="center" vertical="center" wrapText="1"/>
    </xf>
    <xf numFmtId="173" fontId="9" fillId="2" borderId="9" xfId="1" applyNumberFormat="1" applyFont="1" applyFill="1" applyBorder="1" applyAlignment="1">
      <alignment horizontal="center" vertical="center" wrapText="1"/>
    </xf>
    <xf numFmtId="169" fontId="9" fillId="2" borderId="12" xfId="1" applyNumberFormat="1" applyFont="1" applyFill="1" applyBorder="1" applyAlignment="1">
      <alignment horizontal="center" vertical="center" wrapText="1"/>
    </xf>
    <xf numFmtId="43" fontId="9" fillId="2" borderId="0" xfId="1" applyFont="1" applyFill="1" applyBorder="1" applyAlignment="1">
      <alignment horizontal="center" vertical="center" wrapText="1"/>
    </xf>
    <xf numFmtId="43" fontId="9" fillId="0" borderId="0" xfId="7" applyNumberFormat="1" applyFont="1" applyBorder="1" applyAlignment="1">
      <alignment vertical="center" wrapText="1"/>
    </xf>
    <xf numFmtId="3" fontId="9" fillId="2" borderId="9" xfId="0" applyNumberFormat="1" applyFont="1" applyFill="1" applyBorder="1" applyAlignment="1">
      <alignment vertical="center" wrapText="1"/>
    </xf>
    <xf numFmtId="171" fontId="7" fillId="0" borderId="10" xfId="1" applyNumberFormat="1" applyFont="1" applyFill="1" applyBorder="1" applyAlignment="1">
      <alignment horizontal="right" vertical="center" wrapText="1"/>
    </xf>
    <xf numFmtId="180" fontId="10" fillId="2" borderId="0" xfId="1" applyNumberFormat="1" applyFont="1" applyFill="1" applyAlignment="1">
      <alignment vertical="center" wrapText="1"/>
    </xf>
    <xf numFmtId="0" fontId="14" fillId="0" borderId="0" xfId="0" applyFont="1" applyFill="1" applyAlignment="1">
      <alignment horizontal="left"/>
    </xf>
    <xf numFmtId="165" fontId="14" fillId="0" borderId="0" xfId="0" applyNumberFormat="1" applyFont="1" applyFill="1" applyAlignment="1">
      <alignment horizontal="center"/>
    </xf>
    <xf numFmtId="0" fontId="14" fillId="0" borderId="0" xfId="0" applyFont="1" applyFill="1" applyAlignment="1">
      <alignment horizontal="center" vertical="center"/>
    </xf>
    <xf numFmtId="3" fontId="16" fillId="0" borderId="0" xfId="0" applyNumberFormat="1" applyFont="1" applyFill="1" applyAlignment="1">
      <alignment horizontal="center" vertical="center"/>
    </xf>
    <xf numFmtId="3" fontId="9" fillId="0" borderId="9" xfId="0" applyNumberFormat="1" applyFont="1" applyFill="1" applyBorder="1" applyAlignment="1">
      <alignment horizontal="center" vertical="center" wrapText="1"/>
    </xf>
    <xf numFmtId="167" fontId="9" fillId="0" borderId="9" xfId="1" applyNumberFormat="1" applyFont="1" applyFill="1" applyBorder="1" applyAlignment="1">
      <alignment horizontal="center" vertical="center" wrapText="1"/>
    </xf>
    <xf numFmtId="0" fontId="19" fillId="0" borderId="9" xfId="0" applyFont="1" applyFill="1" applyBorder="1" applyAlignment="1">
      <alignment horizontal="center" vertical="center" wrapText="1"/>
    </xf>
    <xf numFmtId="167" fontId="19" fillId="0" borderId="9" xfId="1" applyNumberFormat="1" applyFont="1" applyFill="1" applyBorder="1" applyAlignment="1">
      <alignment horizontal="right" vertical="center" wrapText="1"/>
    </xf>
    <xf numFmtId="167" fontId="7" fillId="0" borderId="9" xfId="1" applyNumberFormat="1" applyFont="1" applyFill="1" applyBorder="1" applyAlignment="1">
      <alignment horizontal="center" vertical="center" wrapText="1"/>
    </xf>
    <xf numFmtId="164" fontId="14" fillId="0" borderId="9" xfId="0" applyNumberFormat="1" applyFont="1" applyFill="1" applyBorder="1" applyAlignment="1">
      <alignment horizontal="center" vertical="center" wrapText="1"/>
    </xf>
    <xf numFmtId="0" fontId="25" fillId="0" borderId="0" xfId="0" applyFont="1"/>
    <xf numFmtId="0" fontId="32" fillId="0" borderId="0" xfId="0" applyFont="1"/>
    <xf numFmtId="0" fontId="33" fillId="0" borderId="0" xfId="0" applyFont="1"/>
    <xf numFmtId="167" fontId="25" fillId="0" borderId="0" xfId="0" applyNumberFormat="1" applyFont="1"/>
    <xf numFmtId="184" fontId="9" fillId="2" borderId="0" xfId="0" applyNumberFormat="1" applyFont="1" applyFill="1" applyAlignment="1">
      <alignment vertical="center" wrapText="1"/>
    </xf>
    <xf numFmtId="184" fontId="8" fillId="2" borderId="0" xfId="0" applyNumberFormat="1" applyFont="1" applyFill="1" applyAlignment="1">
      <alignment vertical="center" wrapText="1"/>
    </xf>
    <xf numFmtId="185" fontId="9" fillId="2" borderId="0" xfId="0" applyNumberFormat="1" applyFont="1" applyFill="1" applyAlignment="1">
      <alignment vertical="center" wrapText="1"/>
    </xf>
    <xf numFmtId="186" fontId="9" fillId="2" borderId="0" xfId="0" applyNumberFormat="1" applyFont="1" applyFill="1" applyAlignment="1">
      <alignment vertical="center" wrapText="1"/>
    </xf>
    <xf numFmtId="187" fontId="9" fillId="2" borderId="0" xfId="0" applyNumberFormat="1" applyFont="1" applyFill="1" applyAlignment="1">
      <alignment vertical="center" wrapText="1"/>
    </xf>
    <xf numFmtId="43" fontId="9" fillId="2" borderId="9" xfId="1" applyFont="1" applyFill="1" applyBorder="1" applyAlignment="1">
      <alignment horizontal="center" vertical="center" wrapText="1"/>
    </xf>
    <xf numFmtId="0" fontId="7" fillId="2" borderId="12" xfId="0" applyNumberFormat="1" applyFont="1" applyFill="1" applyBorder="1" applyAlignment="1">
      <alignment horizontal="center" vertical="center" wrapText="1"/>
    </xf>
    <xf numFmtId="169" fontId="8" fillId="2" borderId="0" xfId="0" applyNumberFormat="1" applyFont="1" applyFill="1" applyAlignment="1">
      <alignment horizontal="center" vertical="center" wrapText="1"/>
    </xf>
    <xf numFmtId="169" fontId="7" fillId="2" borderId="9" xfId="1" applyNumberFormat="1" applyFont="1" applyFill="1" applyBorder="1" applyAlignment="1">
      <alignment horizontal="right" vertical="center" wrapText="1"/>
    </xf>
    <xf numFmtId="169" fontId="9" fillId="2" borderId="9" xfId="1" applyNumberFormat="1" applyFont="1" applyFill="1" applyBorder="1" applyAlignment="1">
      <alignment horizontal="right" vertical="center" wrapText="1"/>
    </xf>
    <xf numFmtId="169" fontId="7" fillId="0" borderId="9" xfId="1" applyNumberFormat="1" applyFont="1" applyFill="1" applyBorder="1" applyAlignment="1">
      <alignment horizontal="right" vertical="center" wrapText="1"/>
    </xf>
    <xf numFmtId="169" fontId="7" fillId="2" borderId="12" xfId="1" applyNumberFormat="1" applyFont="1" applyFill="1" applyBorder="1" applyAlignment="1">
      <alignment horizontal="right" vertical="center" wrapText="1"/>
    </xf>
    <xf numFmtId="169" fontId="7" fillId="2" borderId="0" xfId="1" applyNumberFormat="1" applyFont="1" applyFill="1" applyBorder="1" applyAlignment="1">
      <alignment vertical="center" wrapText="1"/>
    </xf>
    <xf numFmtId="169" fontId="9" fillId="2" borderId="0" xfId="0" applyNumberFormat="1" applyFont="1" applyFill="1" applyAlignment="1">
      <alignment vertical="center" wrapText="1"/>
    </xf>
    <xf numFmtId="0" fontId="7" fillId="0" borderId="0" xfId="0" applyFont="1" applyAlignment="1">
      <alignment horizontal="right" vertical="center"/>
    </xf>
    <xf numFmtId="0" fontId="7" fillId="0"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9" xfId="7" applyFont="1" applyBorder="1" applyAlignment="1">
      <alignment horizontal="center" vertical="center"/>
    </xf>
    <xf numFmtId="0" fontId="7" fillId="2" borderId="9" xfId="7" applyFont="1" applyFill="1" applyBorder="1" applyAlignment="1">
      <alignment horizontal="center" vertical="center" wrapText="1"/>
    </xf>
    <xf numFmtId="0" fontId="7" fillId="2" borderId="9" xfId="7" applyFont="1" applyFill="1" applyBorder="1" applyAlignment="1">
      <alignment horizontal="center" vertical="center"/>
    </xf>
    <xf numFmtId="49" fontId="7" fillId="2" borderId="9" xfId="7" applyNumberFormat="1" applyFont="1" applyFill="1" applyBorder="1" applyAlignment="1">
      <alignment horizontal="center" vertical="center"/>
    </xf>
    <xf numFmtId="0" fontId="9" fillId="0" borderId="9" xfId="0"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vertical="center" wrapText="1"/>
    </xf>
    <xf numFmtId="49" fontId="34" fillId="2" borderId="9" xfId="0" quotePrefix="1" applyNumberFormat="1" applyFont="1" applyFill="1" applyBorder="1" applyAlignment="1">
      <alignment vertical="center" wrapText="1"/>
    </xf>
    <xf numFmtId="0" fontId="34" fillId="2" borderId="9" xfId="7" quotePrefix="1" applyFont="1" applyFill="1" applyBorder="1" applyAlignment="1">
      <alignment vertical="center"/>
    </xf>
    <xf numFmtId="3" fontId="34" fillId="2" borderId="9" xfId="7" applyNumberFormat="1" applyFont="1" applyFill="1" applyBorder="1" applyAlignment="1">
      <alignment vertical="center"/>
    </xf>
    <xf numFmtId="43" fontId="34" fillId="2" borderId="9" xfId="1" applyFont="1" applyFill="1" applyBorder="1" applyAlignment="1">
      <alignment vertical="center"/>
    </xf>
    <xf numFmtId="43" fontId="9" fillId="0" borderId="9" xfId="1" applyFont="1" applyFill="1" applyBorder="1" applyAlignment="1">
      <alignment horizontal="center" vertical="center" wrapText="1"/>
    </xf>
    <xf numFmtId="49" fontId="9" fillId="2" borderId="9" xfId="0" applyNumberFormat="1" applyFont="1" applyFill="1" applyBorder="1" applyAlignment="1">
      <alignment vertical="center"/>
    </xf>
    <xf numFmtId="4" fontId="9" fillId="2" borderId="9" xfId="0" applyNumberFormat="1" applyFont="1" applyFill="1" applyBorder="1" applyAlignment="1">
      <alignment horizontal="right" vertical="center" wrapText="1"/>
    </xf>
    <xf numFmtId="168" fontId="9" fillId="2" borderId="9" xfId="0" applyNumberFormat="1" applyFont="1" applyFill="1" applyBorder="1" applyAlignment="1">
      <alignment horizontal="right" vertical="center" wrapText="1"/>
    </xf>
    <xf numFmtId="168" fontId="9" fillId="2" borderId="9" xfId="7" applyNumberFormat="1" applyFont="1" applyFill="1" applyBorder="1" applyAlignment="1">
      <alignment vertical="center"/>
    </xf>
    <xf numFmtId="165" fontId="9" fillId="2" borderId="9" xfId="0" applyNumberFormat="1" applyFont="1" applyFill="1" applyBorder="1" applyAlignment="1">
      <alignment vertical="center" wrapText="1"/>
    </xf>
    <xf numFmtId="0" fontId="9" fillId="2" borderId="12" xfId="0" applyFont="1" applyFill="1" applyBorder="1" applyAlignment="1">
      <alignment horizontal="center" vertical="center"/>
    </xf>
    <xf numFmtId="49" fontId="9" fillId="2" borderId="12" xfId="0" applyNumberFormat="1" applyFont="1" applyFill="1" applyBorder="1" applyAlignment="1">
      <alignment vertical="center"/>
    </xf>
    <xf numFmtId="0" fontId="9" fillId="2" borderId="12" xfId="0" applyFont="1" applyFill="1" applyBorder="1" applyAlignment="1">
      <alignment horizontal="center" vertical="center" wrapText="1"/>
    </xf>
    <xf numFmtId="43" fontId="9" fillId="2" borderId="12" xfId="1" applyFont="1" applyFill="1" applyBorder="1" applyAlignment="1">
      <alignment horizontal="right" vertical="center" wrapText="1"/>
    </xf>
    <xf numFmtId="4" fontId="9" fillId="2" borderId="12" xfId="1" applyNumberFormat="1" applyFont="1" applyFill="1" applyBorder="1" applyAlignment="1">
      <alignment horizontal="right" vertical="center" wrapText="1"/>
    </xf>
    <xf numFmtId="168" fontId="9" fillId="2" borderId="12" xfId="0" applyNumberFormat="1" applyFont="1" applyFill="1" applyBorder="1" applyAlignment="1">
      <alignment horizontal="right" vertical="center" wrapText="1"/>
    </xf>
    <xf numFmtId="168" fontId="9" fillId="2" borderId="12" xfId="1" applyNumberFormat="1" applyFont="1" applyFill="1" applyBorder="1" applyAlignment="1">
      <alignment horizontal="right" vertical="center" wrapText="1"/>
    </xf>
    <xf numFmtId="165" fontId="9" fillId="2" borderId="12" xfId="0" applyNumberFormat="1" applyFont="1" applyFill="1" applyBorder="1" applyAlignment="1">
      <alignment vertical="center" wrapText="1"/>
    </xf>
    <xf numFmtId="0" fontId="9" fillId="0" borderId="12" xfId="7" applyFont="1" applyBorder="1" applyAlignment="1">
      <alignment horizontal="center" vertical="center"/>
    </xf>
    <xf numFmtId="0" fontId="9" fillId="0" borderId="9" xfId="0" applyFont="1" applyFill="1" applyBorder="1" applyAlignment="1">
      <alignment horizontal="left" vertical="center"/>
    </xf>
    <xf numFmtId="169" fontId="9" fillId="0" borderId="10" xfId="1" applyNumberFormat="1" applyFont="1" applyFill="1" applyBorder="1" applyAlignment="1">
      <alignment horizontal="right" vertical="center"/>
    </xf>
    <xf numFmtId="169" fontId="9" fillId="0" borderId="13" xfId="1" applyNumberFormat="1" applyFont="1" applyFill="1" applyBorder="1" applyAlignment="1">
      <alignment horizontal="right" vertical="center"/>
    </xf>
    <xf numFmtId="169" fontId="9" fillId="0" borderId="9" xfId="1" applyNumberFormat="1" applyFont="1" applyFill="1" applyBorder="1" applyAlignment="1">
      <alignment horizontal="right" vertical="center"/>
    </xf>
    <xf numFmtId="0" fontId="7" fillId="0" borderId="0" xfId="0" applyFont="1" applyFill="1" applyAlignment="1">
      <alignment horizontal="center"/>
    </xf>
    <xf numFmtId="0" fontId="7"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Alignment="1">
      <alignment horizontal="center"/>
    </xf>
    <xf numFmtId="0" fontId="8" fillId="0" borderId="1" xfId="0" applyFont="1" applyBorder="1" applyAlignment="1">
      <alignment horizontal="right" vertical="center"/>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5" xfId="0" applyFont="1" applyBorder="1" applyAlignment="1">
      <alignment horizontal="center"/>
    </xf>
    <xf numFmtId="0" fontId="9" fillId="0" borderId="3" xfId="0" applyFont="1" applyBorder="1" applyAlignment="1">
      <alignment horizontal="center"/>
    </xf>
    <xf numFmtId="0" fontId="8" fillId="7" borderId="3" xfId="0" applyFont="1" applyFill="1" applyBorder="1" applyAlignment="1">
      <alignment horizontal="center" vertical="center" wrapText="1"/>
    </xf>
    <xf numFmtId="0" fontId="9" fillId="3" borderId="3" xfId="0" applyFont="1" applyFill="1" applyBorder="1" applyAlignment="1">
      <alignment horizontal="center" vertical="center"/>
    </xf>
    <xf numFmtId="9" fontId="9" fillId="4" borderId="3" xfId="0" applyNumberFormat="1"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0" borderId="4" xfId="0" applyFont="1" applyBorder="1" applyAlignment="1">
      <alignment horizontal="center"/>
    </xf>
    <xf numFmtId="0" fontId="8" fillId="7" borderId="5" xfId="0" applyFont="1" applyFill="1" applyBorder="1" applyAlignment="1">
      <alignment horizontal="center" vertical="center" wrapText="1"/>
    </xf>
    <xf numFmtId="164" fontId="9" fillId="6" borderId="3"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3" xfId="0" applyFont="1" applyFill="1" applyBorder="1" applyAlignment="1">
      <alignment horizontal="center"/>
    </xf>
    <xf numFmtId="0" fontId="7" fillId="0" borderId="0" xfId="0" applyFont="1" applyAlignment="1">
      <alignment horizontal="right" vertical="center"/>
    </xf>
    <xf numFmtId="0" fontId="8" fillId="0" borderId="3" xfId="0" applyFont="1" applyFill="1" applyBorder="1" applyAlignment="1">
      <alignment horizontal="center" vertical="center" wrapText="1"/>
    </xf>
    <xf numFmtId="0" fontId="7" fillId="0" borderId="0" xfId="2" applyFont="1" applyFill="1" applyAlignment="1">
      <alignment horizontal="center"/>
    </xf>
    <xf numFmtId="0" fontId="23" fillId="0" borderId="3" xfId="0" applyFont="1" applyFill="1" applyBorder="1" applyAlignment="1">
      <alignment horizontal="center" vertical="center" wrapText="1"/>
    </xf>
    <xf numFmtId="0" fontId="21" fillId="0" borderId="0" xfId="0" applyFont="1" applyFill="1" applyAlignment="1">
      <alignment horizontal="center"/>
    </xf>
    <xf numFmtId="0" fontId="23" fillId="0" borderId="5" xfId="0" applyFont="1" applyFill="1" applyBorder="1" applyAlignment="1">
      <alignment horizontal="center" vertical="center" wrapText="1"/>
    </xf>
    <xf numFmtId="0" fontId="21" fillId="0" borderId="0" xfId="0" applyFont="1" applyAlignment="1">
      <alignment horizont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4" fillId="0" borderId="1" xfId="0" applyFont="1" applyFill="1" applyBorder="1" applyAlignment="1">
      <alignment horizontal="right" vertical="center"/>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3" fontId="7" fillId="0" borderId="0" xfId="5" applyNumberFormat="1" applyFont="1" applyFill="1" applyAlignment="1">
      <alignment horizontal="left"/>
    </xf>
    <xf numFmtId="3" fontId="7" fillId="0" borderId="0" xfId="5" applyNumberFormat="1" applyFont="1" applyFill="1" applyAlignment="1">
      <alignment horizontal="center" vertical="center"/>
    </xf>
    <xf numFmtId="169" fontId="9" fillId="0" borderId="10" xfId="1" applyNumberFormat="1" applyFont="1" applyFill="1" applyBorder="1" applyAlignment="1">
      <alignment horizontal="center" vertical="center" wrapText="1"/>
    </xf>
    <xf numFmtId="169" fontId="9" fillId="0" borderId="13" xfId="1" applyNumberFormat="1" applyFont="1" applyFill="1" applyBorder="1" applyAlignment="1">
      <alignment horizontal="center" vertical="center" wrapText="1"/>
    </xf>
    <xf numFmtId="169" fontId="7" fillId="2" borderId="2" xfId="0" applyNumberFormat="1" applyFont="1" applyFill="1" applyBorder="1" applyAlignment="1">
      <alignment horizontal="center" vertical="center" wrapText="1"/>
    </xf>
    <xf numFmtId="169" fontId="7" fillId="2" borderId="6" xfId="0" applyNumberFormat="1" applyFont="1" applyFill="1" applyBorder="1" applyAlignment="1">
      <alignment horizontal="center" vertical="center" wrapText="1"/>
    </xf>
    <xf numFmtId="169" fontId="7" fillId="2" borderId="7" xfId="0" applyNumberFormat="1" applyFont="1" applyFill="1" applyBorder="1" applyAlignment="1">
      <alignment horizontal="center" vertical="center" wrapText="1"/>
    </xf>
    <xf numFmtId="43" fontId="8" fillId="2" borderId="1" xfId="1" applyFont="1" applyFill="1" applyBorder="1" applyAlignment="1">
      <alignment horizontal="right" vertical="center" wrapText="1"/>
    </xf>
    <xf numFmtId="43" fontId="9" fillId="2" borderId="8" xfId="1" applyFont="1" applyFill="1" applyBorder="1" applyAlignment="1">
      <alignment horizontal="center" vertical="center" wrapText="1"/>
    </xf>
    <xf numFmtId="43" fontId="9" fillId="2" borderId="9" xfId="1" applyFont="1" applyFill="1" applyBorder="1" applyAlignment="1">
      <alignment horizontal="center" vertical="center" wrapText="1"/>
    </xf>
    <xf numFmtId="43" fontId="9" fillId="2" borderId="12" xfId="1" applyFont="1" applyFill="1" applyBorder="1" applyAlignment="1">
      <alignment horizontal="center" vertical="center" wrapText="1"/>
    </xf>
    <xf numFmtId="165" fontId="7" fillId="2" borderId="0" xfId="0" applyNumberFormat="1" applyFont="1" applyFill="1" applyAlignment="1">
      <alignment horizontal="right"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72" fontId="7" fillId="2" borderId="3" xfId="1" applyNumberFormat="1" applyFont="1" applyFill="1" applyBorder="1" applyAlignment="1">
      <alignment horizontal="center" vertical="center" wrapText="1"/>
    </xf>
    <xf numFmtId="43" fontId="7" fillId="2" borderId="3" xfId="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xf numFmtId="0" fontId="7" fillId="2" borderId="12"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6" fillId="0" borderId="1" xfId="0" applyFont="1" applyFill="1" applyBorder="1" applyAlignment="1">
      <alignment horizontal="right" vertical="center"/>
    </xf>
    <xf numFmtId="0" fontId="14" fillId="0" borderId="0" xfId="0" applyFont="1" applyFill="1" applyAlignment="1">
      <alignment horizontal="left"/>
    </xf>
    <xf numFmtId="165" fontId="14" fillId="0" borderId="0" xfId="0" applyNumberFormat="1" applyFont="1" applyFill="1" applyAlignment="1">
      <alignment horizontal="center"/>
    </xf>
    <xf numFmtId="0" fontId="14" fillId="0" borderId="0" xfId="0" applyFont="1" applyFill="1" applyAlignment="1">
      <alignment horizontal="center" vertical="center"/>
    </xf>
    <xf numFmtId="3" fontId="16" fillId="0" borderId="0" xfId="0" applyNumberFormat="1" applyFont="1" applyFill="1" applyAlignment="1">
      <alignment horizontal="center" vertical="center"/>
    </xf>
    <xf numFmtId="0" fontId="9" fillId="0" borderId="0" xfId="7" applyFont="1" applyAlignment="1">
      <alignment horizontal="left" vertical="center" wrapText="1"/>
    </xf>
    <xf numFmtId="0" fontId="7" fillId="0" borderId="8" xfId="7" applyFont="1" applyBorder="1" applyAlignment="1">
      <alignment horizontal="center" vertical="center"/>
    </xf>
    <xf numFmtId="0" fontId="7" fillId="0" borderId="9" xfId="7" applyFont="1" applyBorder="1" applyAlignment="1">
      <alignment horizontal="center" vertical="center"/>
    </xf>
    <xf numFmtId="0" fontId="7" fillId="2" borderId="9" xfId="7" applyFont="1" applyFill="1" applyBorder="1" applyAlignment="1">
      <alignment horizontal="center" vertical="center" wrapText="1"/>
    </xf>
    <xf numFmtId="0" fontId="7" fillId="2" borderId="9" xfId="7" applyFont="1" applyFill="1" applyBorder="1" applyAlignment="1">
      <alignment horizontal="center" vertical="center"/>
    </xf>
    <xf numFmtId="0" fontId="7" fillId="0" borderId="0" xfId="7" applyFont="1" applyAlignment="1">
      <alignment horizontal="center" vertical="center"/>
    </xf>
    <xf numFmtId="0" fontId="7" fillId="2" borderId="0" xfId="7" applyFont="1" applyFill="1" applyAlignment="1">
      <alignment horizontal="center" vertical="center"/>
    </xf>
    <xf numFmtId="0" fontId="8" fillId="2" borderId="0" xfId="7" applyFont="1" applyFill="1" applyAlignment="1">
      <alignment horizontal="center" vertical="center"/>
    </xf>
    <xf numFmtId="0" fontId="7" fillId="2" borderId="8" xfId="7" applyFont="1" applyFill="1" applyBorder="1" applyAlignment="1">
      <alignment horizontal="center" vertical="center"/>
    </xf>
    <xf numFmtId="49" fontId="7" fillId="2" borderId="8" xfId="7" applyNumberFormat="1" applyFont="1" applyFill="1" applyBorder="1" applyAlignment="1">
      <alignment horizontal="center" vertical="center"/>
    </xf>
    <xf numFmtId="49" fontId="7" fillId="2" borderId="9" xfId="7" applyNumberFormat="1" applyFont="1" applyFill="1" applyBorder="1" applyAlignment="1">
      <alignment horizontal="center" vertical="center"/>
    </xf>
    <xf numFmtId="0" fontId="7" fillId="2" borderId="8" xfId="7" applyFont="1" applyFill="1" applyBorder="1" applyAlignment="1">
      <alignment horizontal="center" vertical="center" wrapText="1"/>
    </xf>
    <xf numFmtId="169" fontId="7" fillId="2" borderId="8" xfId="7" applyNumberFormat="1" applyFont="1" applyFill="1" applyBorder="1" applyAlignment="1">
      <alignment horizontal="center" vertical="center" wrapText="1"/>
    </xf>
    <xf numFmtId="169" fontId="7" fillId="2" borderId="9" xfId="7" applyNumberFormat="1" applyFont="1" applyFill="1" applyBorder="1" applyAlignment="1">
      <alignment horizontal="center" vertical="center" wrapText="1"/>
    </xf>
  </cellXfs>
  <cellStyles count="15">
    <cellStyle name="AutoFormat-Optionen 2 2" xfId="6"/>
    <cellStyle name="Comma" xfId="1" builtinId="3"/>
    <cellStyle name="Comma 16" xfId="4"/>
    <cellStyle name="Comma 3" xfId="12"/>
    <cellStyle name="Normal" xfId="0" builtinId="0"/>
    <cellStyle name="Normal 15" xfId="11"/>
    <cellStyle name="Normal 2" xfId="7"/>
    <cellStyle name="Normal 2 2" xfId="10"/>
    <cellStyle name="Normal 3" xfId="9"/>
    <cellStyle name="Normal 3 2" xfId="13"/>
    <cellStyle name="Normal_BIEU 1-DU TOAN 2018" xfId="2"/>
    <cellStyle name="Normal_Bieu DT 2009 (HDND)" xfId="5"/>
    <cellStyle name="Normal_Bieu so 2(DPsua) 2" xfId="14"/>
    <cellStyle name="Normal_BIEU SO 5-TINH TY LE PHAN CHIA 2017 (27 10 2017)" xfId="3"/>
    <cellStyle name="Normal_Sheet1_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1223963</xdr:colOff>
      <xdr:row>1</xdr:row>
      <xdr:rowOff>38100</xdr:rowOff>
    </xdr:from>
    <xdr:to>
      <xdr:col>0</xdr:col>
      <xdr:colOff>1966913</xdr:colOff>
      <xdr:row>1</xdr:row>
      <xdr:rowOff>38100</xdr:rowOff>
    </xdr:to>
    <xdr:cxnSp macro="">
      <xdr:nvCxnSpPr>
        <xdr:cNvPr id="2" name="Straight Connector 1">
          <a:extLst>
            <a:ext uri="{FF2B5EF4-FFF2-40B4-BE49-F238E27FC236}">
              <a16:creationId xmlns:a16="http://schemas.microsoft.com/office/drawing/2014/main" id="{F4F0775B-7F68-428F-98AA-8F8CD3FD65A9}"/>
            </a:ext>
          </a:extLst>
        </xdr:cNvPr>
        <xdr:cNvCxnSpPr/>
      </xdr:nvCxnSpPr>
      <xdr:spPr>
        <a:xfrm>
          <a:off x="1223963" y="204788"/>
          <a:ext cx="742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76200</xdr:rowOff>
    </xdr:from>
    <xdr:to>
      <xdr:col>2</xdr:col>
      <xdr:colOff>9525</xdr:colOff>
      <xdr:row>6</xdr:row>
      <xdr:rowOff>133350</xdr:rowOff>
    </xdr:to>
    <xdr:sp macro="" textlink="">
      <xdr:nvSpPr>
        <xdr:cNvPr id="2" name="Line 8"/>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3" name="Line 16"/>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4" name="Line 24"/>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5" name="Line 33"/>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6" name="Line 41"/>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7" name="Line 49"/>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8" name="Line 8"/>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9" name="Line 16"/>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0" name="Line 24"/>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1" name="Line 33"/>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2" name="Line 41"/>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3" name="Line 49"/>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4" name="Line 8"/>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5" name="Line 16"/>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6" name="Line 24"/>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7" name="Line 33"/>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8" name="Line 41"/>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19" name="Line 49"/>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0" name="Line 8"/>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1" name="Line 16"/>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2" name="Line 24"/>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3" name="Line 33"/>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4" name="Line 41"/>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5" name="Line 49"/>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6" name="Line 8"/>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7" name="Line 16"/>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8" name="Line 24"/>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29" name="Line 33"/>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30" name="Line 41"/>
        <xdr:cNvSpPr>
          <a:spLocks noChangeShapeType="1"/>
        </xdr:cNvSpPr>
      </xdr:nvSpPr>
      <xdr:spPr bwMode="auto">
        <a:xfrm>
          <a:off x="357188" y="1209675"/>
          <a:ext cx="191928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76200</xdr:rowOff>
    </xdr:from>
    <xdr:to>
      <xdr:col>2</xdr:col>
      <xdr:colOff>9525</xdr:colOff>
      <xdr:row>6</xdr:row>
      <xdr:rowOff>133350</xdr:rowOff>
    </xdr:to>
    <xdr:sp macro="" textlink="">
      <xdr:nvSpPr>
        <xdr:cNvPr id="31" name="Line 49"/>
        <xdr:cNvSpPr>
          <a:spLocks noChangeShapeType="1"/>
        </xdr:cNvSpPr>
      </xdr:nvSpPr>
      <xdr:spPr bwMode="auto">
        <a:xfrm>
          <a:off x="357188" y="814388"/>
          <a:ext cx="1824037"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1009650</xdr:colOff>
      <xdr:row>1</xdr:row>
      <xdr:rowOff>61912</xdr:rowOff>
    </xdr:from>
    <xdr:to>
      <xdr:col>1</xdr:col>
      <xdr:colOff>1709737</xdr:colOff>
      <xdr:row>1</xdr:row>
      <xdr:rowOff>61912</xdr:rowOff>
    </xdr:to>
    <xdr:cxnSp macro="">
      <xdr:nvCxnSpPr>
        <xdr:cNvPr id="33" name="Straight Connector 32"/>
        <xdr:cNvCxnSpPr/>
      </xdr:nvCxnSpPr>
      <xdr:spPr>
        <a:xfrm>
          <a:off x="1357313" y="257175"/>
          <a:ext cx="70008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909638</xdr:colOff>
      <xdr:row>1</xdr:row>
      <xdr:rowOff>71438</xdr:rowOff>
    </xdr:from>
    <xdr:to>
      <xdr:col>1</xdr:col>
      <xdr:colOff>1652588</xdr:colOff>
      <xdr:row>1</xdr:row>
      <xdr:rowOff>71438</xdr:rowOff>
    </xdr:to>
    <xdr:cxnSp macro="">
      <xdr:nvCxnSpPr>
        <xdr:cNvPr id="3" name="Straight Connector 2"/>
        <xdr:cNvCxnSpPr/>
      </xdr:nvCxnSpPr>
      <xdr:spPr>
        <a:xfrm>
          <a:off x="1185863" y="290513"/>
          <a:ext cx="742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742950</xdr:colOff>
      <xdr:row>1</xdr:row>
      <xdr:rowOff>66675</xdr:rowOff>
    </xdr:from>
    <xdr:to>
      <xdr:col>1</xdr:col>
      <xdr:colOff>1776413</xdr:colOff>
      <xdr:row>1</xdr:row>
      <xdr:rowOff>66675</xdr:rowOff>
    </xdr:to>
    <xdr:cxnSp macro="">
      <xdr:nvCxnSpPr>
        <xdr:cNvPr id="3" name="Straight Connector 2"/>
        <xdr:cNvCxnSpPr/>
      </xdr:nvCxnSpPr>
      <xdr:spPr>
        <a:xfrm>
          <a:off x="1152525" y="266700"/>
          <a:ext cx="10334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1219200</xdr:colOff>
      <xdr:row>1</xdr:row>
      <xdr:rowOff>100013</xdr:rowOff>
    </xdr:from>
    <xdr:to>
      <xdr:col>1</xdr:col>
      <xdr:colOff>1866900</xdr:colOff>
      <xdr:row>1</xdr:row>
      <xdr:rowOff>100013</xdr:rowOff>
    </xdr:to>
    <xdr:cxnSp macro="">
      <xdr:nvCxnSpPr>
        <xdr:cNvPr id="3" name="Straight Connector 2"/>
        <xdr:cNvCxnSpPr/>
      </xdr:nvCxnSpPr>
      <xdr:spPr>
        <a:xfrm>
          <a:off x="1709738" y="300038"/>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290513</xdr:colOff>
      <xdr:row>1</xdr:row>
      <xdr:rowOff>89535</xdr:rowOff>
    </xdr:from>
    <xdr:to>
      <xdr:col>1</xdr:col>
      <xdr:colOff>671513</xdr:colOff>
      <xdr:row>1</xdr:row>
      <xdr:rowOff>89535</xdr:rowOff>
    </xdr:to>
    <xdr:cxnSp macro="">
      <xdr:nvCxnSpPr>
        <xdr:cNvPr id="2" name="Straight Connector 1">
          <a:extLst>
            <a:ext uri="{FF2B5EF4-FFF2-40B4-BE49-F238E27FC236}">
              <a16:creationId xmlns:a16="http://schemas.microsoft.com/office/drawing/2014/main" id="{6DAC63DD-A76A-422F-990B-53BFF622C295}"/>
            </a:ext>
          </a:extLst>
        </xdr:cNvPr>
        <xdr:cNvCxnSpPr/>
      </xdr:nvCxnSpPr>
      <xdr:spPr>
        <a:xfrm>
          <a:off x="290513" y="299085"/>
          <a:ext cx="781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1013501</xdr:colOff>
      <xdr:row>1</xdr:row>
      <xdr:rowOff>75692</xdr:rowOff>
    </xdr:from>
    <xdr:to>
      <xdr:col>1</xdr:col>
      <xdr:colOff>1803873</xdr:colOff>
      <xdr:row>1</xdr:row>
      <xdr:rowOff>75692</xdr:rowOff>
    </xdr:to>
    <xdr:cxnSp macro="">
      <xdr:nvCxnSpPr>
        <xdr:cNvPr id="3" name="Straight Connector 2">
          <a:extLst>
            <a:ext uri="{FF2B5EF4-FFF2-40B4-BE49-F238E27FC236}">
              <a16:creationId xmlns:a16="http://schemas.microsoft.com/office/drawing/2014/main" id="{724F9641-B8CB-473D-A4DD-6AFC57319693}"/>
            </a:ext>
          </a:extLst>
        </xdr:cNvPr>
        <xdr:cNvCxnSpPr/>
      </xdr:nvCxnSpPr>
      <xdr:spPr>
        <a:xfrm>
          <a:off x="1442126" y="242380"/>
          <a:ext cx="7903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346710</xdr:colOff>
      <xdr:row>1</xdr:row>
      <xdr:rowOff>45720</xdr:rowOff>
    </xdr:from>
    <xdr:to>
      <xdr:col>1</xdr:col>
      <xdr:colOff>646747</xdr:colOff>
      <xdr:row>1</xdr:row>
      <xdr:rowOff>45720</xdr:rowOff>
    </xdr:to>
    <xdr:cxnSp macro="">
      <xdr:nvCxnSpPr>
        <xdr:cNvPr id="2" name="Straight Connector 1">
          <a:extLst>
            <a:ext uri="{FF2B5EF4-FFF2-40B4-BE49-F238E27FC236}">
              <a16:creationId xmlns:a16="http://schemas.microsoft.com/office/drawing/2014/main" id="{3312130E-9E07-4D9A-A1A1-14DEA7E979DC}"/>
            </a:ext>
          </a:extLst>
        </xdr:cNvPr>
        <xdr:cNvCxnSpPr/>
      </xdr:nvCxnSpPr>
      <xdr:spPr>
        <a:xfrm>
          <a:off x="346710" y="236220"/>
          <a:ext cx="790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346710</xdr:colOff>
      <xdr:row>1</xdr:row>
      <xdr:rowOff>45720</xdr:rowOff>
    </xdr:from>
    <xdr:to>
      <xdr:col>1</xdr:col>
      <xdr:colOff>646747</xdr:colOff>
      <xdr:row>1</xdr:row>
      <xdr:rowOff>45720</xdr:rowOff>
    </xdr:to>
    <xdr:cxnSp macro="">
      <xdr:nvCxnSpPr>
        <xdr:cNvPr id="2" name="Straight Connector 1">
          <a:extLst>
            <a:ext uri="{FF2B5EF4-FFF2-40B4-BE49-F238E27FC236}">
              <a16:creationId xmlns:a16="http://schemas.microsoft.com/office/drawing/2014/main" id="{3312130E-9E07-4D9A-A1A1-14DEA7E979DC}"/>
            </a:ext>
          </a:extLst>
        </xdr:cNvPr>
        <xdr:cNvCxnSpPr/>
      </xdr:nvCxnSpPr>
      <xdr:spPr>
        <a:xfrm>
          <a:off x="346710" y="207645"/>
          <a:ext cx="790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KH%20TMR/T&#224;i%20li&#7879;u%20T&#237;n/tri&#7875;n%20khai%20x&#226;y%20d&#7921;ng%20d&#7921;%20to&#225;n%20chi%20ti&#7871;t%20n&#259;m%202022/chu&#7849;n%20b&#7883;%20n&#7897;i%20dung%20giao%20d&#7921;%20to&#225;n%202022/giao%20d&#7921;%20to&#225;n%202022/Q&#272;%20giao%20DT%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ân đối thu chi"/>
      <sheetName val="Tổng hợp DT chi huyện xã"/>
      <sheetName val="DT thu 2022"/>
      <sheetName val="DT chi cân đối NS huyện"/>
      <sheetName val="chi xã"/>
      <sheetName val="Du toan chi co muc tieu ns "/>
      <sheetName val="HS lương xã 2022"/>
      <sheetName val="SC SNGD"/>
      <sheetName val="chỉ tiêu KTXH"/>
      <sheetName val="chỉ tieeuNN-TS"/>
      <sheetName val="chỉ tiêu VHXH"/>
      <sheetName val="chi tieu gd-d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B27" sqref="B27"/>
    </sheetView>
  </sheetViews>
  <sheetFormatPr defaultColWidth="11.265625" defaultRowHeight="13.15" x14ac:dyDescent="0.4"/>
  <cols>
    <col min="1" max="1" width="45.796875" style="224" customWidth="1"/>
    <col min="2" max="3" width="19.19921875" style="224" customWidth="1"/>
    <col min="4" max="4" width="44.46484375" style="224" customWidth="1"/>
    <col min="5" max="6" width="20.6640625" style="224" customWidth="1"/>
    <col min="7" max="8" width="11.265625" style="224"/>
    <col min="9" max="9" width="14.46484375" style="224" bestFit="1" customWidth="1"/>
    <col min="10" max="16384" width="11.265625" style="224"/>
  </cols>
  <sheetData>
    <row r="1" spans="1:9" x14ac:dyDescent="0.4">
      <c r="A1" s="360" t="s">
        <v>60</v>
      </c>
      <c r="B1" s="273"/>
      <c r="F1" s="274" t="s">
        <v>62</v>
      </c>
      <c r="G1" s="275"/>
      <c r="H1" s="275"/>
    </row>
    <row r="2" spans="1:9" x14ac:dyDescent="0.4">
      <c r="A2" s="447" t="s">
        <v>155</v>
      </c>
      <c r="B2" s="447"/>
      <c r="C2" s="447"/>
      <c r="D2" s="447"/>
      <c r="E2" s="447"/>
      <c r="F2" s="447"/>
    </row>
    <row r="3" spans="1:9" x14ac:dyDescent="0.4">
      <c r="F3" s="276" t="s">
        <v>61</v>
      </c>
    </row>
    <row r="4" spans="1:9" s="267" customFormat="1" ht="12.75" x14ac:dyDescent="0.35">
      <c r="A4" s="448" t="s">
        <v>119</v>
      </c>
      <c r="B4" s="448"/>
      <c r="C4" s="448"/>
      <c r="D4" s="449" t="s">
        <v>120</v>
      </c>
      <c r="E4" s="449"/>
      <c r="F4" s="449"/>
    </row>
    <row r="5" spans="1:9" s="267" customFormat="1" ht="12.75" x14ac:dyDescent="0.35">
      <c r="A5" s="450" t="s">
        <v>121</v>
      </c>
      <c r="B5" s="451" t="s">
        <v>122</v>
      </c>
      <c r="C5" s="450" t="s">
        <v>123</v>
      </c>
      <c r="D5" s="450" t="s">
        <v>121</v>
      </c>
      <c r="E5" s="451" t="s">
        <v>124</v>
      </c>
      <c r="F5" s="450" t="s">
        <v>125</v>
      </c>
    </row>
    <row r="6" spans="1:9" s="267" customFormat="1" ht="12.75" x14ac:dyDescent="0.35">
      <c r="A6" s="450"/>
      <c r="B6" s="452"/>
      <c r="C6" s="450"/>
      <c r="D6" s="450"/>
      <c r="E6" s="452"/>
      <c r="F6" s="450"/>
    </row>
    <row r="7" spans="1:9" s="267" customFormat="1" ht="12.75" x14ac:dyDescent="0.35">
      <c r="A7" s="277" t="s">
        <v>126</v>
      </c>
      <c r="B7" s="278">
        <f>B8+B13+B14</f>
        <v>118130</v>
      </c>
      <c r="C7" s="278">
        <f>C8+C13+C14</f>
        <v>118130</v>
      </c>
      <c r="D7" s="277" t="s">
        <v>127</v>
      </c>
      <c r="E7" s="278">
        <f>E8+E11+E12+E13</f>
        <v>118130</v>
      </c>
      <c r="F7" s="278">
        <f>F8+F11+F12+F13</f>
        <v>118130</v>
      </c>
      <c r="G7" s="279"/>
    </row>
    <row r="8" spans="1:9" x14ac:dyDescent="0.4">
      <c r="A8" s="277" t="s">
        <v>128</v>
      </c>
      <c r="B8" s="278">
        <f>B9+B10</f>
        <v>110662</v>
      </c>
      <c r="C8" s="278">
        <f>C9+C10</f>
        <v>110662</v>
      </c>
      <c r="D8" s="277" t="s">
        <v>129</v>
      </c>
      <c r="E8" s="278">
        <f>E9+E10</f>
        <v>3170</v>
      </c>
      <c r="F8" s="278">
        <f>F9+F10</f>
        <v>3170</v>
      </c>
    </row>
    <row r="9" spans="1:9" s="283" customFormat="1" x14ac:dyDescent="0.4">
      <c r="A9" s="138" t="s">
        <v>130</v>
      </c>
      <c r="B9" s="280">
        <f>C9</f>
        <v>17757</v>
      </c>
      <c r="C9" s="280">
        <v>17757</v>
      </c>
      <c r="D9" s="281" t="s">
        <v>131</v>
      </c>
      <c r="E9" s="282">
        <f>F9</f>
        <v>3000</v>
      </c>
      <c r="F9" s="280">
        <v>3000</v>
      </c>
      <c r="I9" s="284"/>
    </row>
    <row r="10" spans="1:9" s="283" customFormat="1" x14ac:dyDescent="0.4">
      <c r="A10" s="443" t="s">
        <v>132</v>
      </c>
      <c r="B10" s="444">
        <f>C10</f>
        <v>92905</v>
      </c>
      <c r="C10" s="446">
        <v>92905</v>
      </c>
      <c r="D10" s="281" t="s">
        <v>133</v>
      </c>
      <c r="E10" s="282">
        <f>F10</f>
        <v>170</v>
      </c>
      <c r="F10" s="280">
        <v>170</v>
      </c>
    </row>
    <row r="11" spans="1:9" s="283" customFormat="1" x14ac:dyDescent="0.4">
      <c r="A11" s="443"/>
      <c r="B11" s="445"/>
      <c r="C11" s="446"/>
      <c r="D11" s="277" t="s">
        <v>134</v>
      </c>
      <c r="E11" s="278">
        <f>F11</f>
        <v>105279</v>
      </c>
      <c r="F11" s="278">
        <v>105279</v>
      </c>
    </row>
    <row r="12" spans="1:9" s="283" customFormat="1" x14ac:dyDescent="0.4">
      <c r="A12" s="285" t="s">
        <v>135</v>
      </c>
      <c r="B12" s="286"/>
      <c r="C12" s="278"/>
      <c r="D12" s="277" t="s">
        <v>136</v>
      </c>
      <c r="E12" s="278">
        <f>F12</f>
        <v>2213</v>
      </c>
      <c r="F12" s="278">
        <v>2213</v>
      </c>
    </row>
    <row r="13" spans="1:9" x14ac:dyDescent="0.4">
      <c r="A13" s="277" t="s">
        <v>137</v>
      </c>
      <c r="B13" s="278"/>
      <c r="C13" s="280"/>
      <c r="D13" s="277" t="s">
        <v>138</v>
      </c>
      <c r="E13" s="278">
        <f>E14+E16</f>
        <v>7468</v>
      </c>
      <c r="F13" s="278">
        <f>F14+F16</f>
        <v>7468</v>
      </c>
    </row>
    <row r="14" spans="1:9" x14ac:dyDescent="0.4">
      <c r="A14" s="277" t="s">
        <v>139</v>
      </c>
      <c r="B14" s="242">
        <f>B15+B16</f>
        <v>7468</v>
      </c>
      <c r="C14" s="242">
        <f>C15+C16</f>
        <v>7468</v>
      </c>
      <c r="D14" s="138" t="s">
        <v>140</v>
      </c>
      <c r="E14" s="280">
        <f>F14</f>
        <v>7468</v>
      </c>
      <c r="F14" s="280">
        <f>7403+60+5</f>
        <v>7468</v>
      </c>
    </row>
    <row r="15" spans="1:9" x14ac:dyDescent="0.4">
      <c r="A15" s="138" t="s">
        <v>141</v>
      </c>
      <c r="B15" s="280">
        <f>C15</f>
        <v>7468</v>
      </c>
      <c r="C15" s="248">
        <f>7403+60+5</f>
        <v>7468</v>
      </c>
      <c r="D15" s="287" t="s">
        <v>142</v>
      </c>
      <c r="E15" s="288"/>
      <c r="F15" s="286"/>
    </row>
    <row r="16" spans="1:9" s="283" customFormat="1" x14ac:dyDescent="0.4">
      <c r="A16" s="138" t="s">
        <v>143</v>
      </c>
      <c r="B16" s="280">
        <f>C16</f>
        <v>0</v>
      </c>
      <c r="C16" s="248"/>
      <c r="D16" s="138" t="s">
        <v>144</v>
      </c>
      <c r="E16" s="280">
        <f>F16</f>
        <v>0</v>
      </c>
      <c r="F16" s="280"/>
    </row>
    <row r="17" spans="1:9" s="283" customFormat="1" x14ac:dyDescent="0.4">
      <c r="A17" s="285" t="s">
        <v>145</v>
      </c>
      <c r="B17" s="289"/>
      <c r="C17" s="248"/>
      <c r="D17" s="285" t="s">
        <v>146</v>
      </c>
      <c r="E17" s="286"/>
      <c r="F17" s="286"/>
    </row>
    <row r="18" spans="1:9" s="267" customFormat="1" ht="12.75" x14ac:dyDescent="0.35">
      <c r="A18" s="277" t="s">
        <v>147</v>
      </c>
      <c r="B18" s="277"/>
      <c r="C18" s="290"/>
      <c r="D18" s="277" t="s">
        <v>148</v>
      </c>
      <c r="E18" s="278"/>
      <c r="F18" s="278"/>
    </row>
    <row r="19" spans="1:9" x14ac:dyDescent="0.4">
      <c r="A19" s="138" t="s">
        <v>149</v>
      </c>
      <c r="B19" s="138"/>
      <c r="C19" s="291"/>
      <c r="D19" s="138" t="s">
        <v>150</v>
      </c>
      <c r="E19" s="280"/>
      <c r="F19" s="280"/>
    </row>
    <row r="20" spans="1:9" x14ac:dyDescent="0.4">
      <c r="A20" s="138" t="s">
        <v>151</v>
      </c>
      <c r="B20" s="138"/>
      <c r="C20" s="139"/>
      <c r="D20" s="138" t="s">
        <v>152</v>
      </c>
      <c r="E20" s="280"/>
      <c r="F20" s="280"/>
    </row>
    <row r="21" spans="1:9" x14ac:dyDescent="0.4">
      <c r="A21" s="292" t="s">
        <v>153</v>
      </c>
      <c r="B21" s="293">
        <f>B7+B18</f>
        <v>118130</v>
      </c>
      <c r="C21" s="293">
        <f>C7+C18</f>
        <v>118130</v>
      </c>
      <c r="D21" s="292" t="s">
        <v>154</v>
      </c>
      <c r="E21" s="294">
        <f>E7+E18</f>
        <v>118130</v>
      </c>
      <c r="F21" s="294">
        <f>F7+F18</f>
        <v>118130</v>
      </c>
      <c r="I21" s="295"/>
    </row>
    <row r="23" spans="1:9" x14ac:dyDescent="0.4">
      <c r="B23" s="296"/>
      <c r="C23" s="297"/>
    </row>
    <row r="24" spans="1:9" x14ac:dyDescent="0.4">
      <c r="C24" s="297"/>
      <c r="F24" s="298"/>
    </row>
    <row r="25" spans="1:9" x14ac:dyDescent="0.4">
      <c r="C25" s="297"/>
      <c r="F25" s="297"/>
    </row>
    <row r="27" spans="1:9" x14ac:dyDescent="0.4">
      <c r="C27" s="297"/>
    </row>
    <row r="28" spans="1:9" x14ac:dyDescent="0.4">
      <c r="C28" s="297"/>
    </row>
    <row r="30" spans="1:9" x14ac:dyDescent="0.4">
      <c r="C30" s="297"/>
    </row>
    <row r="31" spans="1:9" x14ac:dyDescent="0.4">
      <c r="C31" s="297"/>
    </row>
    <row r="32" spans="1:9" x14ac:dyDescent="0.4">
      <c r="C32" s="297"/>
    </row>
    <row r="33" spans="3:3" x14ac:dyDescent="0.4">
      <c r="C33" s="297"/>
    </row>
    <row r="34" spans="3:3" x14ac:dyDescent="0.4">
      <c r="C34" s="297"/>
    </row>
  </sheetData>
  <mergeCells count="12">
    <mergeCell ref="A10:A11"/>
    <mergeCell ref="B10:B11"/>
    <mergeCell ref="C10:C11"/>
    <mergeCell ref="A2:F2"/>
    <mergeCell ref="A4:C4"/>
    <mergeCell ref="D4:F4"/>
    <mergeCell ref="A5:A6"/>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75"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sqref="A1:H12"/>
    </sheetView>
  </sheetViews>
  <sheetFormatPr defaultColWidth="11.265625" defaultRowHeight="12.75" x14ac:dyDescent="0.35"/>
  <cols>
    <col min="1" max="1" width="6.86328125" style="222" customWidth="1"/>
    <col min="2" max="2" width="61.73046875" style="181" customWidth="1"/>
    <col min="3" max="5" width="8.19921875" style="181" customWidth="1"/>
    <col min="6" max="6" width="10" style="181" customWidth="1"/>
    <col min="7" max="7" width="13.9296875" style="181" customWidth="1"/>
    <col min="8" max="8" width="18.6640625" style="181" customWidth="1"/>
    <col min="9" max="9" width="17.1328125" style="181" customWidth="1"/>
    <col min="10" max="16384" width="11.265625" style="181"/>
  </cols>
  <sheetData>
    <row r="1" spans="1:9" x14ac:dyDescent="0.35">
      <c r="A1" s="517" t="s">
        <v>60</v>
      </c>
      <c r="B1" s="517"/>
      <c r="E1" s="182"/>
      <c r="F1" s="182"/>
      <c r="G1" s="182"/>
      <c r="H1" s="183"/>
    </row>
    <row r="2" spans="1:9" x14ac:dyDescent="0.35">
      <c r="A2" s="388"/>
      <c r="B2" s="386"/>
      <c r="C2" s="518"/>
      <c r="D2" s="518"/>
      <c r="E2" s="518"/>
      <c r="F2" s="387"/>
      <c r="G2" s="387"/>
      <c r="H2" s="387"/>
    </row>
    <row r="3" spans="1:9" x14ac:dyDescent="0.35">
      <c r="A3" s="519" t="s">
        <v>974</v>
      </c>
      <c r="B3" s="519"/>
      <c r="C3" s="519"/>
      <c r="D3" s="519"/>
      <c r="E3" s="519"/>
      <c r="F3" s="519"/>
      <c r="G3" s="519"/>
      <c r="H3" s="519"/>
    </row>
    <row r="4" spans="1:9" ht="13.15" hidden="1" x14ac:dyDescent="0.35">
      <c r="A4" s="520" t="e">
        <f>'[1]DT chi cân đối NS huyện'!#REF!</f>
        <v>#REF!</v>
      </c>
      <c r="B4" s="520"/>
      <c r="C4" s="520"/>
      <c r="D4" s="520"/>
      <c r="E4" s="520"/>
      <c r="F4" s="389"/>
      <c r="G4" s="389"/>
      <c r="H4" s="389"/>
    </row>
    <row r="5" spans="1:9" ht="13.15" x14ac:dyDescent="0.4">
      <c r="A5" s="188"/>
      <c r="B5" s="189"/>
      <c r="C5" s="516" t="s">
        <v>61</v>
      </c>
      <c r="D5" s="516"/>
      <c r="E5" s="516"/>
      <c r="F5" s="516"/>
      <c r="G5" s="516"/>
      <c r="H5" s="516"/>
    </row>
    <row r="6" spans="1:9" x14ac:dyDescent="0.35">
      <c r="A6" s="190" t="s">
        <v>64</v>
      </c>
      <c r="B6" s="190" t="s">
        <v>121</v>
      </c>
      <c r="C6" s="190" t="s">
        <v>975</v>
      </c>
      <c r="D6" s="190" t="s">
        <v>976</v>
      </c>
      <c r="E6" s="190" t="s">
        <v>977</v>
      </c>
      <c r="F6" s="190" t="s">
        <v>925</v>
      </c>
      <c r="G6" s="190" t="s">
        <v>978</v>
      </c>
      <c r="H6" s="190" t="s">
        <v>160</v>
      </c>
    </row>
    <row r="7" spans="1:9" ht="24.4" customHeight="1" x14ac:dyDescent="0.35">
      <c r="A7" s="129">
        <v>1</v>
      </c>
      <c r="B7" s="254" t="s">
        <v>979</v>
      </c>
      <c r="C7" s="129" t="s">
        <v>980</v>
      </c>
      <c r="D7" s="129">
        <v>9</v>
      </c>
      <c r="E7" s="129">
        <v>365</v>
      </c>
      <c r="F7" s="390">
        <v>327600</v>
      </c>
      <c r="G7" s="391">
        <f>D7*E7*F7</f>
        <v>1076166000</v>
      </c>
      <c r="H7" s="129"/>
    </row>
    <row r="8" spans="1:9" ht="24.4" customHeight="1" x14ac:dyDescent="0.35">
      <c r="A8" s="392">
        <v>2</v>
      </c>
      <c r="B8" s="200" t="s">
        <v>981</v>
      </c>
      <c r="C8" s="129" t="s">
        <v>980</v>
      </c>
      <c r="D8" s="129">
        <v>9</v>
      </c>
      <c r="E8" s="129">
        <v>365</v>
      </c>
      <c r="F8" s="393">
        <v>72000</v>
      </c>
      <c r="G8" s="391">
        <f t="shared" ref="G8:G10" si="0">D8*E8*F8</f>
        <v>236520000</v>
      </c>
      <c r="H8" s="392"/>
    </row>
    <row r="9" spans="1:9" ht="24.4" customHeight="1" x14ac:dyDescent="0.35">
      <c r="A9" s="194"/>
      <c r="B9" s="196"/>
      <c r="C9" s="195"/>
      <c r="D9" s="195"/>
      <c r="E9" s="195"/>
      <c r="F9" s="195"/>
      <c r="G9" s="391">
        <f t="shared" si="0"/>
        <v>0</v>
      </c>
      <c r="H9" s="197"/>
    </row>
    <row r="10" spans="1:9" ht="24.4" customHeight="1" x14ac:dyDescent="0.35">
      <c r="A10" s="194"/>
      <c r="B10" s="196"/>
      <c r="C10" s="195"/>
      <c r="D10" s="195"/>
      <c r="E10" s="195"/>
      <c r="F10" s="195"/>
      <c r="G10" s="391">
        <f t="shared" si="0"/>
        <v>0</v>
      </c>
      <c r="H10" s="197"/>
      <c r="I10" s="198"/>
    </row>
    <row r="11" spans="1:9" s="204" customFormat="1" ht="24.4" customHeight="1" x14ac:dyDescent="0.4">
      <c r="A11" s="199"/>
      <c r="B11" s="196" t="s">
        <v>982</v>
      </c>
      <c r="C11" s="195"/>
      <c r="D11" s="195"/>
      <c r="E11" s="241"/>
      <c r="F11" s="241"/>
      <c r="G11" s="394">
        <f>SUM(G7:G10)</f>
        <v>1312686000</v>
      </c>
      <c r="H11" s="395"/>
    </row>
    <row r="12" spans="1:9" s="204" customFormat="1" ht="13.15" x14ac:dyDescent="0.4">
      <c r="A12" s="218"/>
      <c r="B12" s="219"/>
      <c r="C12" s="220"/>
      <c r="D12" s="220"/>
      <c r="E12" s="220"/>
      <c r="F12" s="220"/>
      <c r="G12" s="220"/>
      <c r="H12" s="221"/>
    </row>
  </sheetData>
  <mergeCells count="5">
    <mergeCell ref="A1:B1"/>
    <mergeCell ref="C2:E2"/>
    <mergeCell ref="A3:H3"/>
    <mergeCell ref="A4:E4"/>
    <mergeCell ref="C5:H5"/>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9"/>
  <sheetViews>
    <sheetView topLeftCell="A294" workbookViewId="0">
      <selection activeCell="N288" sqref="N288"/>
    </sheetView>
  </sheetViews>
  <sheetFormatPr defaultColWidth="8.86328125" defaultRowHeight="13.15" x14ac:dyDescent="0.45"/>
  <cols>
    <col min="1" max="1" width="4.3984375" style="54" customWidth="1"/>
    <col min="2" max="2" width="25.265625" style="168" customWidth="1"/>
    <col min="3" max="4" width="8.796875" style="55" customWidth="1"/>
    <col min="5" max="5" width="13.265625" style="55" customWidth="1"/>
    <col min="6" max="6" width="14" style="55" customWidth="1"/>
    <col min="7" max="7" width="13.265625" style="55" customWidth="1"/>
    <col min="8" max="8" width="10" style="55" customWidth="1"/>
    <col min="9" max="9" width="10.86328125" style="55" customWidth="1"/>
    <col min="10" max="11" width="8.59765625" style="55" customWidth="1"/>
    <col min="12" max="13" width="11.86328125" style="55" customWidth="1"/>
    <col min="14" max="15" width="9.265625" style="55" customWidth="1"/>
    <col min="16" max="16" width="8.1328125" style="55" customWidth="1"/>
    <col min="17" max="20" width="10.86328125" style="55" customWidth="1"/>
    <col min="21" max="22" width="11.265625" style="55" customWidth="1"/>
    <col min="23" max="23" width="10.265625" style="55" customWidth="1"/>
    <col min="24" max="25" width="12.265625" style="55" customWidth="1"/>
    <col min="26" max="26" width="15.265625" style="169" customWidth="1"/>
    <col min="27" max="27" width="12.86328125" style="54" customWidth="1"/>
    <col min="28" max="28" width="11.73046875" style="55" bestFit="1" customWidth="1"/>
    <col min="29" max="256" width="8.86328125" style="55"/>
    <col min="257" max="257" width="4.3984375" style="55" customWidth="1"/>
    <col min="258" max="258" width="25.265625" style="55" customWidth="1"/>
    <col min="259" max="260" width="8.796875" style="55" customWidth="1"/>
    <col min="261" max="279" width="0" style="55" hidden="1" customWidth="1"/>
    <col min="280" max="281" width="12.265625" style="55" customWidth="1"/>
    <col min="282" max="282" width="15.265625" style="55" customWidth="1"/>
    <col min="283" max="283" width="12.86328125" style="55" customWidth="1"/>
    <col min="284" max="284" width="9.3984375" style="55" bestFit="1" customWidth="1"/>
    <col min="285" max="512" width="8.86328125" style="55"/>
    <col min="513" max="513" width="4.3984375" style="55" customWidth="1"/>
    <col min="514" max="514" width="25.265625" style="55" customWidth="1"/>
    <col min="515" max="516" width="8.796875" style="55" customWidth="1"/>
    <col min="517" max="535" width="0" style="55" hidden="1" customWidth="1"/>
    <col min="536" max="537" width="12.265625" style="55" customWidth="1"/>
    <col min="538" max="538" width="15.265625" style="55" customWidth="1"/>
    <col min="539" max="539" width="12.86328125" style="55" customWidth="1"/>
    <col min="540" max="540" width="9.3984375" style="55" bestFit="1" customWidth="1"/>
    <col min="541" max="768" width="8.86328125" style="55"/>
    <col min="769" max="769" width="4.3984375" style="55" customWidth="1"/>
    <col min="770" max="770" width="25.265625" style="55" customWidth="1"/>
    <col min="771" max="772" width="8.796875" style="55" customWidth="1"/>
    <col min="773" max="791" width="0" style="55" hidden="1" customWidth="1"/>
    <col min="792" max="793" width="12.265625" style="55" customWidth="1"/>
    <col min="794" max="794" width="15.265625" style="55" customWidth="1"/>
    <col min="795" max="795" width="12.86328125" style="55" customWidth="1"/>
    <col min="796" max="796" width="9.3984375" style="55" bestFit="1" customWidth="1"/>
    <col min="797" max="1024" width="8.86328125" style="55"/>
    <col min="1025" max="1025" width="4.3984375" style="55" customWidth="1"/>
    <col min="1026" max="1026" width="25.265625" style="55" customWidth="1"/>
    <col min="1027" max="1028" width="8.796875" style="55" customWidth="1"/>
    <col min="1029" max="1047" width="0" style="55" hidden="1" customWidth="1"/>
    <col min="1048" max="1049" width="12.265625" style="55" customWidth="1"/>
    <col min="1050" max="1050" width="15.265625" style="55" customWidth="1"/>
    <col min="1051" max="1051" width="12.86328125" style="55" customWidth="1"/>
    <col min="1052" max="1052" width="9.3984375" style="55" bestFit="1" customWidth="1"/>
    <col min="1053" max="1280" width="8.86328125" style="55"/>
    <col min="1281" max="1281" width="4.3984375" style="55" customWidth="1"/>
    <col min="1282" max="1282" width="25.265625" style="55" customWidth="1"/>
    <col min="1283" max="1284" width="8.796875" style="55" customWidth="1"/>
    <col min="1285" max="1303" width="0" style="55" hidden="1" customWidth="1"/>
    <col min="1304" max="1305" width="12.265625" style="55" customWidth="1"/>
    <col min="1306" max="1306" width="15.265625" style="55" customWidth="1"/>
    <col min="1307" max="1307" width="12.86328125" style="55" customWidth="1"/>
    <col min="1308" max="1308" width="9.3984375" style="55" bestFit="1" customWidth="1"/>
    <col min="1309" max="1536" width="8.86328125" style="55"/>
    <col min="1537" max="1537" width="4.3984375" style="55" customWidth="1"/>
    <col min="1538" max="1538" width="25.265625" style="55" customWidth="1"/>
    <col min="1539" max="1540" width="8.796875" style="55" customWidth="1"/>
    <col min="1541" max="1559" width="0" style="55" hidden="1" customWidth="1"/>
    <col min="1560" max="1561" width="12.265625" style="55" customWidth="1"/>
    <col min="1562" max="1562" width="15.265625" style="55" customWidth="1"/>
    <col min="1563" max="1563" width="12.86328125" style="55" customWidth="1"/>
    <col min="1564" max="1564" width="9.3984375" style="55" bestFit="1" customWidth="1"/>
    <col min="1565" max="1792" width="8.86328125" style="55"/>
    <col min="1793" max="1793" width="4.3984375" style="55" customWidth="1"/>
    <col min="1794" max="1794" width="25.265625" style="55" customWidth="1"/>
    <col min="1795" max="1796" width="8.796875" style="55" customWidth="1"/>
    <col min="1797" max="1815" width="0" style="55" hidden="1" customWidth="1"/>
    <col min="1816" max="1817" width="12.265625" style="55" customWidth="1"/>
    <col min="1818" max="1818" width="15.265625" style="55" customWidth="1"/>
    <col min="1819" max="1819" width="12.86328125" style="55" customWidth="1"/>
    <col min="1820" max="1820" width="9.3984375" style="55" bestFit="1" customWidth="1"/>
    <col min="1821" max="2048" width="8.86328125" style="55"/>
    <col min="2049" max="2049" width="4.3984375" style="55" customWidth="1"/>
    <col min="2050" max="2050" width="25.265625" style="55" customWidth="1"/>
    <col min="2051" max="2052" width="8.796875" style="55" customWidth="1"/>
    <col min="2053" max="2071" width="0" style="55" hidden="1" customWidth="1"/>
    <col min="2072" max="2073" width="12.265625" style="55" customWidth="1"/>
    <col min="2074" max="2074" width="15.265625" style="55" customWidth="1"/>
    <col min="2075" max="2075" width="12.86328125" style="55" customWidth="1"/>
    <col min="2076" max="2076" width="9.3984375" style="55" bestFit="1" customWidth="1"/>
    <col min="2077" max="2304" width="8.86328125" style="55"/>
    <col min="2305" max="2305" width="4.3984375" style="55" customWidth="1"/>
    <col min="2306" max="2306" width="25.265625" style="55" customWidth="1"/>
    <col min="2307" max="2308" width="8.796875" style="55" customWidth="1"/>
    <col min="2309" max="2327" width="0" style="55" hidden="1" customWidth="1"/>
    <col min="2328" max="2329" width="12.265625" style="55" customWidth="1"/>
    <col min="2330" max="2330" width="15.265625" style="55" customWidth="1"/>
    <col min="2331" max="2331" width="12.86328125" style="55" customWidth="1"/>
    <col min="2332" max="2332" width="9.3984375" style="55" bestFit="1" customWidth="1"/>
    <col min="2333" max="2560" width="8.86328125" style="55"/>
    <col min="2561" max="2561" width="4.3984375" style="55" customWidth="1"/>
    <col min="2562" max="2562" width="25.265625" style="55" customWidth="1"/>
    <col min="2563" max="2564" width="8.796875" style="55" customWidth="1"/>
    <col min="2565" max="2583" width="0" style="55" hidden="1" customWidth="1"/>
    <col min="2584" max="2585" width="12.265625" style="55" customWidth="1"/>
    <col min="2586" max="2586" width="15.265625" style="55" customWidth="1"/>
    <col min="2587" max="2587" width="12.86328125" style="55" customWidth="1"/>
    <col min="2588" max="2588" width="9.3984375" style="55" bestFit="1" customWidth="1"/>
    <col min="2589" max="2816" width="8.86328125" style="55"/>
    <col min="2817" max="2817" width="4.3984375" style="55" customWidth="1"/>
    <col min="2818" max="2818" width="25.265625" style="55" customWidth="1"/>
    <col min="2819" max="2820" width="8.796875" style="55" customWidth="1"/>
    <col min="2821" max="2839" width="0" style="55" hidden="1" customWidth="1"/>
    <col min="2840" max="2841" width="12.265625" style="55" customWidth="1"/>
    <col min="2842" max="2842" width="15.265625" style="55" customWidth="1"/>
    <col min="2843" max="2843" width="12.86328125" style="55" customWidth="1"/>
    <col min="2844" max="2844" width="9.3984375" style="55" bestFit="1" customWidth="1"/>
    <col min="2845" max="3072" width="8.86328125" style="55"/>
    <col min="3073" max="3073" width="4.3984375" style="55" customWidth="1"/>
    <col min="3074" max="3074" width="25.265625" style="55" customWidth="1"/>
    <col min="3075" max="3076" width="8.796875" style="55" customWidth="1"/>
    <col min="3077" max="3095" width="0" style="55" hidden="1" customWidth="1"/>
    <col min="3096" max="3097" width="12.265625" style="55" customWidth="1"/>
    <col min="3098" max="3098" width="15.265625" style="55" customWidth="1"/>
    <col min="3099" max="3099" width="12.86328125" style="55" customWidth="1"/>
    <col min="3100" max="3100" width="9.3984375" style="55" bestFit="1" customWidth="1"/>
    <col min="3101" max="3328" width="8.86328125" style="55"/>
    <col min="3329" max="3329" width="4.3984375" style="55" customWidth="1"/>
    <col min="3330" max="3330" width="25.265625" style="55" customWidth="1"/>
    <col min="3331" max="3332" width="8.796875" style="55" customWidth="1"/>
    <col min="3333" max="3351" width="0" style="55" hidden="1" customWidth="1"/>
    <col min="3352" max="3353" width="12.265625" style="55" customWidth="1"/>
    <col min="3354" max="3354" width="15.265625" style="55" customWidth="1"/>
    <col min="3355" max="3355" width="12.86328125" style="55" customWidth="1"/>
    <col min="3356" max="3356" width="9.3984375" style="55" bestFit="1" customWidth="1"/>
    <col min="3357" max="3584" width="8.86328125" style="55"/>
    <col min="3585" max="3585" width="4.3984375" style="55" customWidth="1"/>
    <col min="3586" max="3586" width="25.265625" style="55" customWidth="1"/>
    <col min="3587" max="3588" width="8.796875" style="55" customWidth="1"/>
    <col min="3589" max="3607" width="0" style="55" hidden="1" customWidth="1"/>
    <col min="3608" max="3609" width="12.265625" style="55" customWidth="1"/>
    <col min="3610" max="3610" width="15.265625" style="55" customWidth="1"/>
    <col min="3611" max="3611" width="12.86328125" style="55" customWidth="1"/>
    <col min="3612" max="3612" width="9.3984375" style="55" bestFit="1" customWidth="1"/>
    <col min="3613" max="3840" width="8.86328125" style="55"/>
    <col min="3841" max="3841" width="4.3984375" style="55" customWidth="1"/>
    <col min="3842" max="3842" width="25.265625" style="55" customWidth="1"/>
    <col min="3843" max="3844" width="8.796875" style="55" customWidth="1"/>
    <col min="3845" max="3863" width="0" style="55" hidden="1" customWidth="1"/>
    <col min="3864" max="3865" width="12.265625" style="55" customWidth="1"/>
    <col min="3866" max="3866" width="15.265625" style="55" customWidth="1"/>
    <col min="3867" max="3867" width="12.86328125" style="55" customWidth="1"/>
    <col min="3868" max="3868" width="9.3984375" style="55" bestFit="1" customWidth="1"/>
    <col min="3869" max="4096" width="8.86328125" style="55"/>
    <col min="4097" max="4097" width="4.3984375" style="55" customWidth="1"/>
    <col min="4098" max="4098" width="25.265625" style="55" customWidth="1"/>
    <col min="4099" max="4100" width="8.796875" style="55" customWidth="1"/>
    <col min="4101" max="4119" width="0" style="55" hidden="1" customWidth="1"/>
    <col min="4120" max="4121" width="12.265625" style="55" customWidth="1"/>
    <col min="4122" max="4122" width="15.265625" style="55" customWidth="1"/>
    <col min="4123" max="4123" width="12.86328125" style="55" customWidth="1"/>
    <col min="4124" max="4124" width="9.3984375" style="55" bestFit="1" customWidth="1"/>
    <col min="4125" max="4352" width="8.86328125" style="55"/>
    <col min="4353" max="4353" width="4.3984375" style="55" customWidth="1"/>
    <col min="4354" max="4354" width="25.265625" style="55" customWidth="1"/>
    <col min="4355" max="4356" width="8.796875" style="55" customWidth="1"/>
    <col min="4357" max="4375" width="0" style="55" hidden="1" customWidth="1"/>
    <col min="4376" max="4377" width="12.265625" style="55" customWidth="1"/>
    <col min="4378" max="4378" width="15.265625" style="55" customWidth="1"/>
    <col min="4379" max="4379" width="12.86328125" style="55" customWidth="1"/>
    <col min="4380" max="4380" width="9.3984375" style="55" bestFit="1" customWidth="1"/>
    <col min="4381" max="4608" width="8.86328125" style="55"/>
    <col min="4609" max="4609" width="4.3984375" style="55" customWidth="1"/>
    <col min="4610" max="4610" width="25.265625" style="55" customWidth="1"/>
    <col min="4611" max="4612" width="8.796875" style="55" customWidth="1"/>
    <col min="4613" max="4631" width="0" style="55" hidden="1" customWidth="1"/>
    <col min="4632" max="4633" width="12.265625" style="55" customWidth="1"/>
    <col min="4634" max="4634" width="15.265625" style="55" customWidth="1"/>
    <col min="4635" max="4635" width="12.86328125" style="55" customWidth="1"/>
    <col min="4636" max="4636" width="9.3984375" style="55" bestFit="1" customWidth="1"/>
    <col min="4637" max="4864" width="8.86328125" style="55"/>
    <col min="4865" max="4865" width="4.3984375" style="55" customWidth="1"/>
    <col min="4866" max="4866" width="25.265625" style="55" customWidth="1"/>
    <col min="4867" max="4868" width="8.796875" style="55" customWidth="1"/>
    <col min="4869" max="4887" width="0" style="55" hidden="1" customWidth="1"/>
    <col min="4888" max="4889" width="12.265625" style="55" customWidth="1"/>
    <col min="4890" max="4890" width="15.265625" style="55" customWidth="1"/>
    <col min="4891" max="4891" width="12.86328125" style="55" customWidth="1"/>
    <col min="4892" max="4892" width="9.3984375" style="55" bestFit="1" customWidth="1"/>
    <col min="4893" max="5120" width="8.86328125" style="55"/>
    <col min="5121" max="5121" width="4.3984375" style="55" customWidth="1"/>
    <col min="5122" max="5122" width="25.265625" style="55" customWidth="1"/>
    <col min="5123" max="5124" width="8.796875" style="55" customWidth="1"/>
    <col min="5125" max="5143" width="0" style="55" hidden="1" customWidth="1"/>
    <col min="5144" max="5145" width="12.265625" style="55" customWidth="1"/>
    <col min="5146" max="5146" width="15.265625" style="55" customWidth="1"/>
    <col min="5147" max="5147" width="12.86328125" style="55" customWidth="1"/>
    <col min="5148" max="5148" width="9.3984375" style="55" bestFit="1" customWidth="1"/>
    <col min="5149" max="5376" width="8.86328125" style="55"/>
    <col min="5377" max="5377" width="4.3984375" style="55" customWidth="1"/>
    <col min="5378" max="5378" width="25.265625" style="55" customWidth="1"/>
    <col min="5379" max="5380" width="8.796875" style="55" customWidth="1"/>
    <col min="5381" max="5399" width="0" style="55" hidden="1" customWidth="1"/>
    <col min="5400" max="5401" width="12.265625" style="55" customWidth="1"/>
    <col min="5402" max="5402" width="15.265625" style="55" customWidth="1"/>
    <col min="5403" max="5403" width="12.86328125" style="55" customWidth="1"/>
    <col min="5404" max="5404" width="9.3984375" style="55" bestFit="1" customWidth="1"/>
    <col min="5405" max="5632" width="8.86328125" style="55"/>
    <col min="5633" max="5633" width="4.3984375" style="55" customWidth="1"/>
    <col min="5634" max="5634" width="25.265625" style="55" customWidth="1"/>
    <col min="5635" max="5636" width="8.796875" style="55" customWidth="1"/>
    <col min="5637" max="5655" width="0" style="55" hidden="1" customWidth="1"/>
    <col min="5656" max="5657" width="12.265625" style="55" customWidth="1"/>
    <col min="5658" max="5658" width="15.265625" style="55" customWidth="1"/>
    <col min="5659" max="5659" width="12.86328125" style="55" customWidth="1"/>
    <col min="5660" max="5660" width="9.3984375" style="55" bestFit="1" customWidth="1"/>
    <col min="5661" max="5888" width="8.86328125" style="55"/>
    <col min="5889" max="5889" width="4.3984375" style="55" customWidth="1"/>
    <col min="5890" max="5890" width="25.265625" style="55" customWidth="1"/>
    <col min="5891" max="5892" width="8.796875" style="55" customWidth="1"/>
    <col min="5893" max="5911" width="0" style="55" hidden="1" customWidth="1"/>
    <col min="5912" max="5913" width="12.265625" style="55" customWidth="1"/>
    <col min="5914" max="5914" width="15.265625" style="55" customWidth="1"/>
    <col min="5915" max="5915" width="12.86328125" style="55" customWidth="1"/>
    <col min="5916" max="5916" width="9.3984375" style="55" bestFit="1" customWidth="1"/>
    <col min="5917" max="6144" width="8.86328125" style="55"/>
    <col min="6145" max="6145" width="4.3984375" style="55" customWidth="1"/>
    <col min="6146" max="6146" width="25.265625" style="55" customWidth="1"/>
    <col min="6147" max="6148" width="8.796875" style="55" customWidth="1"/>
    <col min="6149" max="6167" width="0" style="55" hidden="1" customWidth="1"/>
    <col min="6168" max="6169" width="12.265625" style="55" customWidth="1"/>
    <col min="6170" max="6170" width="15.265625" style="55" customWidth="1"/>
    <col min="6171" max="6171" width="12.86328125" style="55" customWidth="1"/>
    <col min="6172" max="6172" width="9.3984375" style="55" bestFit="1" customWidth="1"/>
    <col min="6173" max="6400" width="8.86328125" style="55"/>
    <col min="6401" max="6401" width="4.3984375" style="55" customWidth="1"/>
    <col min="6402" max="6402" width="25.265625" style="55" customWidth="1"/>
    <col min="6403" max="6404" width="8.796875" style="55" customWidth="1"/>
    <col min="6405" max="6423" width="0" style="55" hidden="1" customWidth="1"/>
    <col min="6424" max="6425" width="12.265625" style="55" customWidth="1"/>
    <col min="6426" max="6426" width="15.265625" style="55" customWidth="1"/>
    <col min="6427" max="6427" width="12.86328125" style="55" customWidth="1"/>
    <col min="6428" max="6428" width="9.3984375" style="55" bestFit="1" customWidth="1"/>
    <col min="6429" max="6656" width="8.86328125" style="55"/>
    <col min="6657" max="6657" width="4.3984375" style="55" customWidth="1"/>
    <col min="6658" max="6658" width="25.265625" style="55" customWidth="1"/>
    <col min="6659" max="6660" width="8.796875" style="55" customWidth="1"/>
    <col min="6661" max="6679" width="0" style="55" hidden="1" customWidth="1"/>
    <col min="6680" max="6681" width="12.265625" style="55" customWidth="1"/>
    <col min="6682" max="6682" width="15.265625" style="55" customWidth="1"/>
    <col min="6683" max="6683" width="12.86328125" style="55" customWidth="1"/>
    <col min="6684" max="6684" width="9.3984375" style="55" bestFit="1" customWidth="1"/>
    <col min="6685" max="6912" width="8.86328125" style="55"/>
    <col min="6913" max="6913" width="4.3984375" style="55" customWidth="1"/>
    <col min="6914" max="6914" width="25.265625" style="55" customWidth="1"/>
    <col min="6915" max="6916" width="8.796875" style="55" customWidth="1"/>
    <col min="6917" max="6935" width="0" style="55" hidden="1" customWidth="1"/>
    <col min="6936" max="6937" width="12.265625" style="55" customWidth="1"/>
    <col min="6938" max="6938" width="15.265625" style="55" customWidth="1"/>
    <col min="6939" max="6939" width="12.86328125" style="55" customWidth="1"/>
    <col min="6940" max="6940" width="9.3984375" style="55" bestFit="1" customWidth="1"/>
    <col min="6941" max="7168" width="8.86328125" style="55"/>
    <col min="7169" max="7169" width="4.3984375" style="55" customWidth="1"/>
    <col min="7170" max="7170" width="25.265625" style="55" customWidth="1"/>
    <col min="7171" max="7172" width="8.796875" style="55" customWidth="1"/>
    <col min="7173" max="7191" width="0" style="55" hidden="1" customWidth="1"/>
    <col min="7192" max="7193" width="12.265625" style="55" customWidth="1"/>
    <col min="7194" max="7194" width="15.265625" style="55" customWidth="1"/>
    <col min="7195" max="7195" width="12.86328125" style="55" customWidth="1"/>
    <col min="7196" max="7196" width="9.3984375" style="55" bestFit="1" customWidth="1"/>
    <col min="7197" max="7424" width="8.86328125" style="55"/>
    <col min="7425" max="7425" width="4.3984375" style="55" customWidth="1"/>
    <col min="7426" max="7426" width="25.265625" style="55" customWidth="1"/>
    <col min="7427" max="7428" width="8.796875" style="55" customWidth="1"/>
    <col min="7429" max="7447" width="0" style="55" hidden="1" customWidth="1"/>
    <col min="7448" max="7449" width="12.265625" style="55" customWidth="1"/>
    <col min="7450" max="7450" width="15.265625" style="55" customWidth="1"/>
    <col min="7451" max="7451" width="12.86328125" style="55" customWidth="1"/>
    <col min="7452" max="7452" width="9.3984375" style="55" bestFit="1" customWidth="1"/>
    <col min="7453" max="7680" width="8.86328125" style="55"/>
    <col min="7681" max="7681" width="4.3984375" style="55" customWidth="1"/>
    <col min="7682" max="7682" width="25.265625" style="55" customWidth="1"/>
    <col min="7683" max="7684" width="8.796875" style="55" customWidth="1"/>
    <col min="7685" max="7703" width="0" style="55" hidden="1" customWidth="1"/>
    <col min="7704" max="7705" width="12.265625" style="55" customWidth="1"/>
    <col min="7706" max="7706" width="15.265625" style="55" customWidth="1"/>
    <col min="7707" max="7707" width="12.86328125" style="55" customWidth="1"/>
    <col min="7708" max="7708" width="9.3984375" style="55" bestFit="1" customWidth="1"/>
    <col min="7709" max="7936" width="8.86328125" style="55"/>
    <col min="7937" max="7937" width="4.3984375" style="55" customWidth="1"/>
    <col min="7938" max="7938" width="25.265625" style="55" customWidth="1"/>
    <col min="7939" max="7940" width="8.796875" style="55" customWidth="1"/>
    <col min="7941" max="7959" width="0" style="55" hidden="1" customWidth="1"/>
    <col min="7960" max="7961" width="12.265625" style="55" customWidth="1"/>
    <col min="7962" max="7962" width="15.265625" style="55" customWidth="1"/>
    <col min="7963" max="7963" width="12.86328125" style="55" customWidth="1"/>
    <col min="7964" max="7964" width="9.3984375" style="55" bestFit="1" customWidth="1"/>
    <col min="7965" max="8192" width="8.86328125" style="55"/>
    <col min="8193" max="8193" width="4.3984375" style="55" customWidth="1"/>
    <col min="8194" max="8194" width="25.265625" style="55" customWidth="1"/>
    <col min="8195" max="8196" width="8.796875" style="55" customWidth="1"/>
    <col min="8197" max="8215" width="0" style="55" hidden="1" customWidth="1"/>
    <col min="8216" max="8217" width="12.265625" style="55" customWidth="1"/>
    <col min="8218" max="8218" width="15.265625" style="55" customWidth="1"/>
    <col min="8219" max="8219" width="12.86328125" style="55" customWidth="1"/>
    <col min="8220" max="8220" width="9.3984375" style="55" bestFit="1" customWidth="1"/>
    <col min="8221" max="8448" width="8.86328125" style="55"/>
    <col min="8449" max="8449" width="4.3984375" style="55" customWidth="1"/>
    <col min="8450" max="8450" width="25.265625" style="55" customWidth="1"/>
    <col min="8451" max="8452" width="8.796875" style="55" customWidth="1"/>
    <col min="8453" max="8471" width="0" style="55" hidden="1" customWidth="1"/>
    <col min="8472" max="8473" width="12.265625" style="55" customWidth="1"/>
    <col min="8474" max="8474" width="15.265625" style="55" customWidth="1"/>
    <col min="8475" max="8475" width="12.86328125" style="55" customWidth="1"/>
    <col min="8476" max="8476" width="9.3984375" style="55" bestFit="1" customWidth="1"/>
    <col min="8477" max="8704" width="8.86328125" style="55"/>
    <col min="8705" max="8705" width="4.3984375" style="55" customWidth="1"/>
    <col min="8706" max="8706" width="25.265625" style="55" customWidth="1"/>
    <col min="8707" max="8708" width="8.796875" style="55" customWidth="1"/>
    <col min="8709" max="8727" width="0" style="55" hidden="1" customWidth="1"/>
    <col min="8728" max="8729" width="12.265625" style="55" customWidth="1"/>
    <col min="8730" max="8730" width="15.265625" style="55" customWidth="1"/>
    <col min="8731" max="8731" width="12.86328125" style="55" customWidth="1"/>
    <col min="8732" max="8732" width="9.3984375" style="55" bestFit="1" customWidth="1"/>
    <col min="8733" max="8960" width="8.86328125" style="55"/>
    <col min="8961" max="8961" width="4.3984375" style="55" customWidth="1"/>
    <col min="8962" max="8962" width="25.265625" style="55" customWidth="1"/>
    <col min="8963" max="8964" width="8.796875" style="55" customWidth="1"/>
    <col min="8965" max="8983" width="0" style="55" hidden="1" customWidth="1"/>
    <col min="8984" max="8985" width="12.265625" style="55" customWidth="1"/>
    <col min="8986" max="8986" width="15.265625" style="55" customWidth="1"/>
    <col min="8987" max="8987" width="12.86328125" style="55" customWidth="1"/>
    <col min="8988" max="8988" width="9.3984375" style="55" bestFit="1" customWidth="1"/>
    <col min="8989" max="9216" width="8.86328125" style="55"/>
    <col min="9217" max="9217" width="4.3984375" style="55" customWidth="1"/>
    <col min="9218" max="9218" width="25.265625" style="55" customWidth="1"/>
    <col min="9219" max="9220" width="8.796875" style="55" customWidth="1"/>
    <col min="9221" max="9239" width="0" style="55" hidden="1" customWidth="1"/>
    <col min="9240" max="9241" width="12.265625" style="55" customWidth="1"/>
    <col min="9242" max="9242" width="15.265625" style="55" customWidth="1"/>
    <col min="9243" max="9243" width="12.86328125" style="55" customWidth="1"/>
    <col min="9244" max="9244" width="9.3984375" style="55" bestFit="1" customWidth="1"/>
    <col min="9245" max="9472" width="8.86328125" style="55"/>
    <col min="9473" max="9473" width="4.3984375" style="55" customWidth="1"/>
    <col min="9474" max="9474" width="25.265625" style="55" customWidth="1"/>
    <col min="9475" max="9476" width="8.796875" style="55" customWidth="1"/>
    <col min="9477" max="9495" width="0" style="55" hidden="1" customWidth="1"/>
    <col min="9496" max="9497" width="12.265625" style="55" customWidth="1"/>
    <col min="9498" max="9498" width="15.265625" style="55" customWidth="1"/>
    <col min="9499" max="9499" width="12.86328125" style="55" customWidth="1"/>
    <col min="9500" max="9500" width="9.3984375" style="55" bestFit="1" customWidth="1"/>
    <col min="9501" max="9728" width="8.86328125" style="55"/>
    <col min="9729" max="9729" width="4.3984375" style="55" customWidth="1"/>
    <col min="9730" max="9730" width="25.265625" style="55" customWidth="1"/>
    <col min="9731" max="9732" width="8.796875" style="55" customWidth="1"/>
    <col min="9733" max="9751" width="0" style="55" hidden="1" customWidth="1"/>
    <col min="9752" max="9753" width="12.265625" style="55" customWidth="1"/>
    <col min="9754" max="9754" width="15.265625" style="55" customWidth="1"/>
    <col min="9755" max="9755" width="12.86328125" style="55" customWidth="1"/>
    <col min="9756" max="9756" width="9.3984375" style="55" bestFit="1" customWidth="1"/>
    <col min="9757" max="9984" width="8.86328125" style="55"/>
    <col min="9985" max="9985" width="4.3984375" style="55" customWidth="1"/>
    <col min="9986" max="9986" width="25.265625" style="55" customWidth="1"/>
    <col min="9987" max="9988" width="8.796875" style="55" customWidth="1"/>
    <col min="9989" max="10007" width="0" style="55" hidden="1" customWidth="1"/>
    <col min="10008" max="10009" width="12.265625" style="55" customWidth="1"/>
    <col min="10010" max="10010" width="15.265625" style="55" customWidth="1"/>
    <col min="10011" max="10011" width="12.86328125" style="55" customWidth="1"/>
    <col min="10012" max="10012" width="9.3984375" style="55" bestFit="1" customWidth="1"/>
    <col min="10013" max="10240" width="8.86328125" style="55"/>
    <col min="10241" max="10241" width="4.3984375" style="55" customWidth="1"/>
    <col min="10242" max="10242" width="25.265625" style="55" customWidth="1"/>
    <col min="10243" max="10244" width="8.796875" style="55" customWidth="1"/>
    <col min="10245" max="10263" width="0" style="55" hidden="1" customWidth="1"/>
    <col min="10264" max="10265" width="12.265625" style="55" customWidth="1"/>
    <col min="10266" max="10266" width="15.265625" style="55" customWidth="1"/>
    <col min="10267" max="10267" width="12.86328125" style="55" customWidth="1"/>
    <col min="10268" max="10268" width="9.3984375" style="55" bestFit="1" customWidth="1"/>
    <col min="10269" max="10496" width="8.86328125" style="55"/>
    <col min="10497" max="10497" width="4.3984375" style="55" customWidth="1"/>
    <col min="10498" max="10498" width="25.265625" style="55" customWidth="1"/>
    <col min="10499" max="10500" width="8.796875" style="55" customWidth="1"/>
    <col min="10501" max="10519" width="0" style="55" hidden="1" customWidth="1"/>
    <col min="10520" max="10521" width="12.265625" style="55" customWidth="1"/>
    <col min="10522" max="10522" width="15.265625" style="55" customWidth="1"/>
    <col min="10523" max="10523" width="12.86328125" style="55" customWidth="1"/>
    <col min="10524" max="10524" width="9.3984375" style="55" bestFit="1" customWidth="1"/>
    <col min="10525" max="10752" width="8.86328125" style="55"/>
    <col min="10753" max="10753" width="4.3984375" style="55" customWidth="1"/>
    <col min="10754" max="10754" width="25.265625" style="55" customWidth="1"/>
    <col min="10755" max="10756" width="8.796875" style="55" customWidth="1"/>
    <col min="10757" max="10775" width="0" style="55" hidden="1" customWidth="1"/>
    <col min="10776" max="10777" width="12.265625" style="55" customWidth="1"/>
    <col min="10778" max="10778" width="15.265625" style="55" customWidth="1"/>
    <col min="10779" max="10779" width="12.86328125" style="55" customWidth="1"/>
    <col min="10780" max="10780" width="9.3984375" style="55" bestFit="1" customWidth="1"/>
    <col min="10781" max="11008" width="8.86328125" style="55"/>
    <col min="11009" max="11009" width="4.3984375" style="55" customWidth="1"/>
    <col min="11010" max="11010" width="25.265625" style="55" customWidth="1"/>
    <col min="11011" max="11012" width="8.796875" style="55" customWidth="1"/>
    <col min="11013" max="11031" width="0" style="55" hidden="1" customWidth="1"/>
    <col min="11032" max="11033" width="12.265625" style="55" customWidth="1"/>
    <col min="11034" max="11034" width="15.265625" style="55" customWidth="1"/>
    <col min="11035" max="11035" width="12.86328125" style="55" customWidth="1"/>
    <col min="11036" max="11036" width="9.3984375" style="55" bestFit="1" customWidth="1"/>
    <col min="11037" max="11264" width="8.86328125" style="55"/>
    <col min="11265" max="11265" width="4.3984375" style="55" customWidth="1"/>
    <col min="11266" max="11266" width="25.265625" style="55" customWidth="1"/>
    <col min="11267" max="11268" width="8.796875" style="55" customWidth="1"/>
    <col min="11269" max="11287" width="0" style="55" hidden="1" customWidth="1"/>
    <col min="11288" max="11289" width="12.265625" style="55" customWidth="1"/>
    <col min="11290" max="11290" width="15.265625" style="55" customWidth="1"/>
    <col min="11291" max="11291" width="12.86328125" style="55" customWidth="1"/>
    <col min="11292" max="11292" width="9.3984375" style="55" bestFit="1" customWidth="1"/>
    <col min="11293" max="11520" width="8.86328125" style="55"/>
    <col min="11521" max="11521" width="4.3984375" style="55" customWidth="1"/>
    <col min="11522" max="11522" width="25.265625" style="55" customWidth="1"/>
    <col min="11523" max="11524" width="8.796875" style="55" customWidth="1"/>
    <col min="11525" max="11543" width="0" style="55" hidden="1" customWidth="1"/>
    <col min="11544" max="11545" width="12.265625" style="55" customWidth="1"/>
    <col min="11546" max="11546" width="15.265625" style="55" customWidth="1"/>
    <col min="11547" max="11547" width="12.86328125" style="55" customWidth="1"/>
    <col min="11548" max="11548" width="9.3984375" style="55" bestFit="1" customWidth="1"/>
    <col min="11549" max="11776" width="8.86328125" style="55"/>
    <col min="11777" max="11777" width="4.3984375" style="55" customWidth="1"/>
    <col min="11778" max="11778" width="25.265625" style="55" customWidth="1"/>
    <col min="11779" max="11780" width="8.796875" style="55" customWidth="1"/>
    <col min="11781" max="11799" width="0" style="55" hidden="1" customWidth="1"/>
    <col min="11800" max="11801" width="12.265625" style="55" customWidth="1"/>
    <col min="11802" max="11802" width="15.265625" style="55" customWidth="1"/>
    <col min="11803" max="11803" width="12.86328125" style="55" customWidth="1"/>
    <col min="11804" max="11804" width="9.3984375" style="55" bestFit="1" customWidth="1"/>
    <col min="11805" max="12032" width="8.86328125" style="55"/>
    <col min="12033" max="12033" width="4.3984375" style="55" customWidth="1"/>
    <col min="12034" max="12034" width="25.265625" style="55" customWidth="1"/>
    <col min="12035" max="12036" width="8.796875" style="55" customWidth="1"/>
    <col min="12037" max="12055" width="0" style="55" hidden="1" customWidth="1"/>
    <col min="12056" max="12057" width="12.265625" style="55" customWidth="1"/>
    <col min="12058" max="12058" width="15.265625" style="55" customWidth="1"/>
    <col min="12059" max="12059" width="12.86328125" style="55" customWidth="1"/>
    <col min="12060" max="12060" width="9.3984375" style="55" bestFit="1" customWidth="1"/>
    <col min="12061" max="12288" width="8.86328125" style="55"/>
    <col min="12289" max="12289" width="4.3984375" style="55" customWidth="1"/>
    <col min="12290" max="12290" width="25.265625" style="55" customWidth="1"/>
    <col min="12291" max="12292" width="8.796875" style="55" customWidth="1"/>
    <col min="12293" max="12311" width="0" style="55" hidden="1" customWidth="1"/>
    <col min="12312" max="12313" width="12.265625" style="55" customWidth="1"/>
    <col min="12314" max="12314" width="15.265625" style="55" customWidth="1"/>
    <col min="12315" max="12315" width="12.86328125" style="55" customWidth="1"/>
    <col min="12316" max="12316" width="9.3984375" style="55" bestFit="1" customWidth="1"/>
    <col min="12317" max="12544" width="8.86328125" style="55"/>
    <col min="12545" max="12545" width="4.3984375" style="55" customWidth="1"/>
    <col min="12546" max="12546" width="25.265625" style="55" customWidth="1"/>
    <col min="12547" max="12548" width="8.796875" style="55" customWidth="1"/>
    <col min="12549" max="12567" width="0" style="55" hidden="1" customWidth="1"/>
    <col min="12568" max="12569" width="12.265625" style="55" customWidth="1"/>
    <col min="12570" max="12570" width="15.265625" style="55" customWidth="1"/>
    <col min="12571" max="12571" width="12.86328125" style="55" customWidth="1"/>
    <col min="12572" max="12572" width="9.3984375" style="55" bestFit="1" customWidth="1"/>
    <col min="12573" max="12800" width="8.86328125" style="55"/>
    <col min="12801" max="12801" width="4.3984375" style="55" customWidth="1"/>
    <col min="12802" max="12802" width="25.265625" style="55" customWidth="1"/>
    <col min="12803" max="12804" width="8.796875" style="55" customWidth="1"/>
    <col min="12805" max="12823" width="0" style="55" hidden="1" customWidth="1"/>
    <col min="12824" max="12825" width="12.265625" style="55" customWidth="1"/>
    <col min="12826" max="12826" width="15.265625" style="55" customWidth="1"/>
    <col min="12827" max="12827" width="12.86328125" style="55" customWidth="1"/>
    <col min="12828" max="12828" width="9.3984375" style="55" bestFit="1" customWidth="1"/>
    <col min="12829" max="13056" width="8.86328125" style="55"/>
    <col min="13057" max="13057" width="4.3984375" style="55" customWidth="1"/>
    <col min="13058" max="13058" width="25.265625" style="55" customWidth="1"/>
    <col min="13059" max="13060" width="8.796875" style="55" customWidth="1"/>
    <col min="13061" max="13079" width="0" style="55" hidden="1" customWidth="1"/>
    <col min="13080" max="13081" width="12.265625" style="55" customWidth="1"/>
    <col min="13082" max="13082" width="15.265625" style="55" customWidth="1"/>
    <col min="13083" max="13083" width="12.86328125" style="55" customWidth="1"/>
    <col min="13084" max="13084" width="9.3984375" style="55" bestFit="1" customWidth="1"/>
    <col min="13085" max="13312" width="8.86328125" style="55"/>
    <col min="13313" max="13313" width="4.3984375" style="55" customWidth="1"/>
    <col min="13314" max="13314" width="25.265625" style="55" customWidth="1"/>
    <col min="13315" max="13316" width="8.796875" style="55" customWidth="1"/>
    <col min="13317" max="13335" width="0" style="55" hidden="1" customWidth="1"/>
    <col min="13336" max="13337" width="12.265625" style="55" customWidth="1"/>
    <col min="13338" max="13338" width="15.265625" style="55" customWidth="1"/>
    <col min="13339" max="13339" width="12.86328125" style="55" customWidth="1"/>
    <col min="13340" max="13340" width="9.3984375" style="55" bestFit="1" customWidth="1"/>
    <col min="13341" max="13568" width="8.86328125" style="55"/>
    <col min="13569" max="13569" width="4.3984375" style="55" customWidth="1"/>
    <col min="13570" max="13570" width="25.265625" style="55" customWidth="1"/>
    <col min="13571" max="13572" width="8.796875" style="55" customWidth="1"/>
    <col min="13573" max="13591" width="0" style="55" hidden="1" customWidth="1"/>
    <col min="13592" max="13593" width="12.265625" style="55" customWidth="1"/>
    <col min="13594" max="13594" width="15.265625" style="55" customWidth="1"/>
    <col min="13595" max="13595" width="12.86328125" style="55" customWidth="1"/>
    <col min="13596" max="13596" width="9.3984375" style="55" bestFit="1" customWidth="1"/>
    <col min="13597" max="13824" width="8.86328125" style="55"/>
    <col min="13825" max="13825" width="4.3984375" style="55" customWidth="1"/>
    <col min="13826" max="13826" width="25.265625" style="55" customWidth="1"/>
    <col min="13827" max="13828" width="8.796875" style="55" customWidth="1"/>
    <col min="13829" max="13847" width="0" style="55" hidden="1" customWidth="1"/>
    <col min="13848" max="13849" width="12.265625" style="55" customWidth="1"/>
    <col min="13850" max="13850" width="15.265625" style="55" customWidth="1"/>
    <col min="13851" max="13851" width="12.86328125" style="55" customWidth="1"/>
    <col min="13852" max="13852" width="9.3984375" style="55" bestFit="1" customWidth="1"/>
    <col min="13853" max="14080" width="8.86328125" style="55"/>
    <col min="14081" max="14081" width="4.3984375" style="55" customWidth="1"/>
    <col min="14082" max="14082" width="25.265625" style="55" customWidth="1"/>
    <col min="14083" max="14084" width="8.796875" style="55" customWidth="1"/>
    <col min="14085" max="14103" width="0" style="55" hidden="1" customWidth="1"/>
    <col min="14104" max="14105" width="12.265625" style="55" customWidth="1"/>
    <col min="14106" max="14106" width="15.265625" style="55" customWidth="1"/>
    <col min="14107" max="14107" width="12.86328125" style="55" customWidth="1"/>
    <col min="14108" max="14108" width="9.3984375" style="55" bestFit="1" customWidth="1"/>
    <col min="14109" max="14336" width="8.86328125" style="55"/>
    <col min="14337" max="14337" width="4.3984375" style="55" customWidth="1"/>
    <col min="14338" max="14338" width="25.265625" style="55" customWidth="1"/>
    <col min="14339" max="14340" width="8.796875" style="55" customWidth="1"/>
    <col min="14341" max="14359" width="0" style="55" hidden="1" customWidth="1"/>
    <col min="14360" max="14361" width="12.265625" style="55" customWidth="1"/>
    <col min="14362" max="14362" width="15.265625" style="55" customWidth="1"/>
    <col min="14363" max="14363" width="12.86328125" style="55" customWidth="1"/>
    <col min="14364" max="14364" width="9.3984375" style="55" bestFit="1" customWidth="1"/>
    <col min="14365" max="14592" width="8.86328125" style="55"/>
    <col min="14593" max="14593" width="4.3984375" style="55" customWidth="1"/>
    <col min="14594" max="14594" width="25.265625" style="55" customWidth="1"/>
    <col min="14595" max="14596" width="8.796875" style="55" customWidth="1"/>
    <col min="14597" max="14615" width="0" style="55" hidden="1" customWidth="1"/>
    <col min="14616" max="14617" width="12.265625" style="55" customWidth="1"/>
    <col min="14618" max="14618" width="15.265625" style="55" customWidth="1"/>
    <col min="14619" max="14619" width="12.86328125" style="55" customWidth="1"/>
    <col min="14620" max="14620" width="9.3984375" style="55" bestFit="1" customWidth="1"/>
    <col min="14621" max="14848" width="8.86328125" style="55"/>
    <col min="14849" max="14849" width="4.3984375" style="55" customWidth="1"/>
    <col min="14850" max="14850" width="25.265625" style="55" customWidth="1"/>
    <col min="14851" max="14852" width="8.796875" style="55" customWidth="1"/>
    <col min="14853" max="14871" width="0" style="55" hidden="1" customWidth="1"/>
    <col min="14872" max="14873" width="12.265625" style="55" customWidth="1"/>
    <col min="14874" max="14874" width="15.265625" style="55" customWidth="1"/>
    <col min="14875" max="14875" width="12.86328125" style="55" customWidth="1"/>
    <col min="14876" max="14876" width="9.3984375" style="55" bestFit="1" customWidth="1"/>
    <col min="14877" max="15104" width="8.86328125" style="55"/>
    <col min="15105" max="15105" width="4.3984375" style="55" customWidth="1"/>
    <col min="15106" max="15106" width="25.265625" style="55" customWidth="1"/>
    <col min="15107" max="15108" width="8.796875" style="55" customWidth="1"/>
    <col min="15109" max="15127" width="0" style="55" hidden="1" customWidth="1"/>
    <col min="15128" max="15129" width="12.265625" style="55" customWidth="1"/>
    <col min="15130" max="15130" width="15.265625" style="55" customWidth="1"/>
    <col min="15131" max="15131" width="12.86328125" style="55" customWidth="1"/>
    <col min="15132" max="15132" width="9.3984375" style="55" bestFit="1" customWidth="1"/>
    <col min="15133" max="15360" width="8.86328125" style="55"/>
    <col min="15361" max="15361" width="4.3984375" style="55" customWidth="1"/>
    <col min="15362" max="15362" width="25.265625" style="55" customWidth="1"/>
    <col min="15363" max="15364" width="8.796875" style="55" customWidth="1"/>
    <col min="15365" max="15383" width="0" style="55" hidden="1" customWidth="1"/>
    <col min="15384" max="15385" width="12.265625" style="55" customWidth="1"/>
    <col min="15386" max="15386" width="15.265625" style="55" customWidth="1"/>
    <col min="15387" max="15387" width="12.86328125" style="55" customWidth="1"/>
    <col min="15388" max="15388" width="9.3984375" style="55" bestFit="1" customWidth="1"/>
    <col min="15389" max="15616" width="8.86328125" style="55"/>
    <col min="15617" max="15617" width="4.3984375" style="55" customWidth="1"/>
    <col min="15618" max="15618" width="25.265625" style="55" customWidth="1"/>
    <col min="15619" max="15620" width="8.796875" style="55" customWidth="1"/>
    <col min="15621" max="15639" width="0" style="55" hidden="1" customWidth="1"/>
    <col min="15640" max="15641" width="12.265625" style="55" customWidth="1"/>
    <col min="15642" max="15642" width="15.265625" style="55" customWidth="1"/>
    <col min="15643" max="15643" width="12.86328125" style="55" customWidth="1"/>
    <col min="15644" max="15644" width="9.3984375" style="55" bestFit="1" customWidth="1"/>
    <col min="15645" max="15872" width="8.86328125" style="55"/>
    <col min="15873" max="15873" width="4.3984375" style="55" customWidth="1"/>
    <col min="15874" max="15874" width="25.265625" style="55" customWidth="1"/>
    <col min="15875" max="15876" width="8.796875" style="55" customWidth="1"/>
    <col min="15877" max="15895" width="0" style="55" hidden="1" customWidth="1"/>
    <col min="15896" max="15897" width="12.265625" style="55" customWidth="1"/>
    <col min="15898" max="15898" width="15.265625" style="55" customWidth="1"/>
    <col min="15899" max="15899" width="12.86328125" style="55" customWidth="1"/>
    <col min="15900" max="15900" width="9.3984375" style="55" bestFit="1" customWidth="1"/>
    <col min="15901" max="16128" width="8.86328125" style="55"/>
    <col min="16129" max="16129" width="4.3984375" style="55" customWidth="1"/>
    <col min="16130" max="16130" width="25.265625" style="55" customWidth="1"/>
    <col min="16131" max="16132" width="8.796875" style="55" customWidth="1"/>
    <col min="16133" max="16151" width="0" style="55" hidden="1" customWidth="1"/>
    <col min="16152" max="16153" width="12.265625" style="55" customWidth="1"/>
    <col min="16154" max="16154" width="15.265625" style="55" customWidth="1"/>
    <col min="16155" max="16155" width="12.86328125" style="55" customWidth="1"/>
    <col min="16156" max="16156" width="9.3984375" style="55" bestFit="1" customWidth="1"/>
    <col min="16157" max="16384" width="8.86328125" style="55"/>
  </cols>
  <sheetData>
    <row r="1" spans="1:32" x14ac:dyDescent="0.45">
      <c r="A1" s="526" t="s">
        <v>62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row>
    <row r="2" spans="1:32" x14ac:dyDescent="0.45">
      <c r="A2" s="527" t="s">
        <v>391</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6"/>
    </row>
    <row r="3" spans="1:32" s="58" customFormat="1" x14ac:dyDescent="0.45">
      <c r="A3" s="528" t="s">
        <v>392</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7"/>
    </row>
    <row r="4" spans="1:32" x14ac:dyDescent="0.45">
      <c r="A4" s="59"/>
      <c r="B4" s="60"/>
      <c r="C4" s="61"/>
      <c r="D4" s="61"/>
      <c r="E4" s="61"/>
      <c r="F4" s="61"/>
      <c r="G4" s="61"/>
      <c r="H4" s="61"/>
      <c r="I4" s="61"/>
      <c r="J4" s="61"/>
      <c r="K4" s="61"/>
      <c r="L4" s="61"/>
      <c r="M4" s="61"/>
      <c r="N4" s="61"/>
      <c r="O4" s="61"/>
      <c r="P4" s="61"/>
      <c r="Q4" s="61"/>
      <c r="R4" s="61"/>
      <c r="S4" s="61"/>
      <c r="T4" s="61"/>
      <c r="U4" s="61"/>
      <c r="V4" s="61"/>
      <c r="W4" s="61"/>
      <c r="Y4" s="62"/>
      <c r="Z4" s="63"/>
      <c r="AA4" s="62" t="s">
        <v>393</v>
      </c>
    </row>
    <row r="5" spans="1:32" s="64" customFormat="1" ht="12.75" customHeight="1" x14ac:dyDescent="0.45">
      <c r="A5" s="529" t="s">
        <v>64</v>
      </c>
      <c r="B5" s="530" t="s">
        <v>394</v>
      </c>
      <c r="C5" s="532" t="s">
        <v>395</v>
      </c>
      <c r="D5" s="532" t="s">
        <v>396</v>
      </c>
      <c r="E5" s="532" t="s">
        <v>397</v>
      </c>
      <c r="F5" s="532"/>
      <c r="G5" s="532"/>
      <c r="H5" s="532"/>
      <c r="I5" s="532"/>
      <c r="J5" s="532"/>
      <c r="K5" s="532"/>
      <c r="L5" s="532"/>
      <c r="M5" s="532"/>
      <c r="N5" s="532"/>
      <c r="O5" s="532"/>
      <c r="P5" s="532"/>
      <c r="Q5" s="532"/>
      <c r="R5" s="532"/>
      <c r="S5" s="532"/>
      <c r="T5" s="532"/>
      <c r="U5" s="532"/>
      <c r="V5" s="532"/>
      <c r="W5" s="532"/>
      <c r="X5" s="532"/>
      <c r="Y5" s="532"/>
      <c r="Z5" s="533" t="s">
        <v>398</v>
      </c>
      <c r="AA5" s="522" t="s">
        <v>160</v>
      </c>
    </row>
    <row r="6" spans="1:32" s="64" customFormat="1" ht="13.5" customHeight="1" x14ac:dyDescent="0.45">
      <c r="A6" s="525"/>
      <c r="B6" s="531"/>
      <c r="C6" s="524"/>
      <c r="D6" s="524"/>
      <c r="E6" s="524" t="s">
        <v>399</v>
      </c>
      <c r="F6" s="524" t="s">
        <v>400</v>
      </c>
      <c r="G6" s="418" t="s">
        <v>401</v>
      </c>
      <c r="H6" s="525" t="s">
        <v>93</v>
      </c>
      <c r="I6" s="525"/>
      <c r="J6" s="525"/>
      <c r="K6" s="525"/>
      <c r="L6" s="525"/>
      <c r="M6" s="525"/>
      <c r="N6" s="525"/>
      <c r="O6" s="525"/>
      <c r="P6" s="525"/>
      <c r="Q6" s="525"/>
      <c r="R6" s="525"/>
      <c r="S6" s="525"/>
      <c r="T6" s="525"/>
      <c r="U6" s="525"/>
      <c r="V6" s="525"/>
      <c r="W6" s="524" t="s">
        <v>402</v>
      </c>
      <c r="X6" s="524" t="s">
        <v>403</v>
      </c>
      <c r="Y6" s="524"/>
      <c r="Z6" s="534"/>
      <c r="AA6" s="523"/>
    </row>
    <row r="7" spans="1:32" s="64" customFormat="1" ht="51" customHeight="1" x14ac:dyDescent="0.45">
      <c r="A7" s="525"/>
      <c r="B7" s="531"/>
      <c r="C7" s="524"/>
      <c r="D7" s="524"/>
      <c r="E7" s="524"/>
      <c r="F7" s="524"/>
      <c r="G7" s="418"/>
      <c r="H7" s="524" t="s">
        <v>404</v>
      </c>
      <c r="I7" s="524" t="s">
        <v>405</v>
      </c>
      <c r="J7" s="524" t="s">
        <v>406</v>
      </c>
      <c r="K7" s="524"/>
      <c r="L7" s="524" t="s">
        <v>407</v>
      </c>
      <c r="M7" s="524"/>
      <c r="N7" s="524" t="s">
        <v>408</v>
      </c>
      <c r="O7" s="524"/>
      <c r="P7" s="524" t="s">
        <v>409</v>
      </c>
      <c r="Q7" s="524" t="s">
        <v>410</v>
      </c>
      <c r="R7" s="524"/>
      <c r="S7" s="524" t="s">
        <v>411</v>
      </c>
      <c r="T7" s="524"/>
      <c r="U7" s="524" t="s">
        <v>412</v>
      </c>
      <c r="V7" s="524"/>
      <c r="W7" s="524"/>
      <c r="X7" s="524"/>
      <c r="Y7" s="524"/>
      <c r="Z7" s="534"/>
      <c r="AA7" s="523"/>
    </row>
    <row r="8" spans="1:32" s="64" customFormat="1" ht="38.25" x14ac:dyDescent="0.45">
      <c r="A8" s="419"/>
      <c r="B8" s="420"/>
      <c r="C8" s="418"/>
      <c r="D8" s="524"/>
      <c r="E8" s="524"/>
      <c r="F8" s="524"/>
      <c r="G8" s="418"/>
      <c r="H8" s="524"/>
      <c r="I8" s="524"/>
      <c r="J8" s="65" t="s">
        <v>413</v>
      </c>
      <c r="K8" s="418" t="s">
        <v>414</v>
      </c>
      <c r="L8" s="418" t="s">
        <v>415</v>
      </c>
      <c r="M8" s="418" t="s">
        <v>416</v>
      </c>
      <c r="N8" s="418" t="s">
        <v>413</v>
      </c>
      <c r="O8" s="418" t="s">
        <v>408</v>
      </c>
      <c r="P8" s="524"/>
      <c r="Q8" s="418" t="s">
        <v>417</v>
      </c>
      <c r="R8" s="418" t="s">
        <v>418</v>
      </c>
      <c r="S8" s="418" t="s">
        <v>417</v>
      </c>
      <c r="T8" s="418" t="s">
        <v>411</v>
      </c>
      <c r="U8" s="418" t="s">
        <v>417</v>
      </c>
      <c r="V8" s="418" t="s">
        <v>419</v>
      </c>
      <c r="W8" s="524"/>
      <c r="X8" s="418" t="s">
        <v>413</v>
      </c>
      <c r="Y8" s="418" t="s">
        <v>420</v>
      </c>
      <c r="Z8" s="534"/>
      <c r="AA8" s="523"/>
    </row>
    <row r="9" spans="1:32" s="70" customFormat="1" ht="51" x14ac:dyDescent="0.45">
      <c r="A9" s="418">
        <v>1</v>
      </c>
      <c r="B9" s="66" t="s">
        <v>421</v>
      </c>
      <c r="C9" s="418">
        <v>3</v>
      </c>
      <c r="D9" s="418">
        <f>C9+1</f>
        <v>4</v>
      </c>
      <c r="E9" s="67" t="s">
        <v>422</v>
      </c>
      <c r="F9" s="418">
        <v>6</v>
      </c>
      <c r="G9" s="67" t="s">
        <v>423</v>
      </c>
      <c r="H9" s="418">
        <v>8</v>
      </c>
      <c r="I9" s="418">
        <f>H9+1</f>
        <v>9</v>
      </c>
      <c r="J9" s="418">
        <f>I9+1</f>
        <v>10</v>
      </c>
      <c r="K9" s="418" t="s">
        <v>424</v>
      </c>
      <c r="L9" s="418">
        <v>12</v>
      </c>
      <c r="M9" s="418" t="s">
        <v>425</v>
      </c>
      <c r="N9" s="418">
        <v>14</v>
      </c>
      <c r="O9" s="418" t="s">
        <v>426</v>
      </c>
      <c r="P9" s="418">
        <v>16</v>
      </c>
      <c r="Q9" s="418">
        <f>P9+1</f>
        <v>17</v>
      </c>
      <c r="R9" s="418" t="s">
        <v>427</v>
      </c>
      <c r="S9" s="418">
        <v>19</v>
      </c>
      <c r="T9" s="418" t="s">
        <v>428</v>
      </c>
      <c r="U9" s="418">
        <v>21</v>
      </c>
      <c r="V9" s="418" t="s">
        <v>429</v>
      </c>
      <c r="W9" s="418">
        <v>23</v>
      </c>
      <c r="X9" s="418">
        <v>24</v>
      </c>
      <c r="Y9" s="418" t="s">
        <v>430</v>
      </c>
      <c r="Z9" s="68" t="s">
        <v>431</v>
      </c>
      <c r="AA9" s="69"/>
    </row>
    <row r="10" spans="1:32" x14ac:dyDescent="0.45">
      <c r="A10" s="71"/>
      <c r="B10" s="72" t="s">
        <v>432</v>
      </c>
      <c r="C10" s="73">
        <f t="shared" ref="C10:Z10" si="0">C11+C321+C323</f>
        <v>338</v>
      </c>
      <c r="D10" s="73">
        <f t="shared" si="0"/>
        <v>319</v>
      </c>
      <c r="E10" s="74">
        <f t="shared" si="0"/>
        <v>2294.5625692499998</v>
      </c>
      <c r="F10" s="74">
        <f t="shared" si="0"/>
        <v>930.8900000000001</v>
      </c>
      <c r="G10" s="74">
        <f t="shared" si="0"/>
        <v>1131.1924599999998</v>
      </c>
      <c r="H10" s="74">
        <f t="shared" si="0"/>
        <v>201.79999999999993</v>
      </c>
      <c r="I10" s="74">
        <f t="shared" si="0"/>
        <v>21.35</v>
      </c>
      <c r="J10" s="74">
        <f t="shared" si="0"/>
        <v>0.3</v>
      </c>
      <c r="K10" s="74">
        <f t="shared" si="0"/>
        <v>2.9474</v>
      </c>
      <c r="L10" s="74">
        <f t="shared" si="0"/>
        <v>100.79999999999994</v>
      </c>
      <c r="M10" s="74">
        <f t="shared" si="0"/>
        <v>426.89578</v>
      </c>
      <c r="N10" s="74">
        <f t="shared" si="0"/>
        <v>55.29999999999999</v>
      </c>
      <c r="O10" s="74">
        <f t="shared" si="0"/>
        <v>172.85099999999997</v>
      </c>
      <c r="P10" s="74">
        <f t="shared" si="0"/>
        <v>154.19999999999999</v>
      </c>
      <c r="Q10" s="74">
        <f t="shared" si="0"/>
        <v>16.25</v>
      </c>
      <c r="R10" s="74">
        <f t="shared" si="0"/>
        <v>56.304749999999999</v>
      </c>
      <c r="S10" s="74">
        <f t="shared" si="0"/>
        <v>0</v>
      </c>
      <c r="T10" s="74">
        <f t="shared" si="0"/>
        <v>0</v>
      </c>
      <c r="U10" s="74">
        <f t="shared" si="0"/>
        <v>14.260000000000002</v>
      </c>
      <c r="V10" s="74">
        <f t="shared" si="0"/>
        <v>78.05753</v>
      </c>
      <c r="W10" s="74">
        <f t="shared" si="0"/>
        <v>23.100000000000005</v>
      </c>
      <c r="X10" s="74">
        <f t="shared" si="0"/>
        <v>53.774999999999984</v>
      </c>
      <c r="Y10" s="74">
        <f t="shared" si="0"/>
        <v>232.48010924999994</v>
      </c>
      <c r="Z10" s="74">
        <f t="shared" si="0"/>
        <v>5416.3104120449989</v>
      </c>
      <c r="AA10" s="75"/>
      <c r="AB10" s="76"/>
    </row>
    <row r="11" spans="1:32" s="64" customFormat="1" ht="25.5" x14ac:dyDescent="0.45">
      <c r="A11" s="77" t="s">
        <v>163</v>
      </c>
      <c r="B11" s="78" t="s">
        <v>433</v>
      </c>
      <c r="C11" s="73">
        <f t="shared" ref="C11:Z11" si="1">C13+C210+C212+C214+C215+C216+C218+C220+C235+C237</f>
        <v>279</v>
      </c>
      <c r="D11" s="73">
        <f t="shared" si="1"/>
        <v>260</v>
      </c>
      <c r="E11" s="74">
        <f t="shared" si="1"/>
        <v>2294.5625692499998</v>
      </c>
      <c r="F11" s="74">
        <f t="shared" si="1"/>
        <v>930.8900000000001</v>
      </c>
      <c r="G11" s="74">
        <f t="shared" si="1"/>
        <v>1131.1924599999998</v>
      </c>
      <c r="H11" s="74">
        <f t="shared" si="1"/>
        <v>201.79999999999993</v>
      </c>
      <c r="I11" s="74">
        <f t="shared" si="1"/>
        <v>21.35</v>
      </c>
      <c r="J11" s="74">
        <f t="shared" si="1"/>
        <v>0.3</v>
      </c>
      <c r="K11" s="74">
        <f t="shared" si="1"/>
        <v>2.9474</v>
      </c>
      <c r="L11" s="74">
        <f t="shared" si="1"/>
        <v>100.79999999999994</v>
      </c>
      <c r="M11" s="74">
        <f t="shared" si="1"/>
        <v>426.89578</v>
      </c>
      <c r="N11" s="74">
        <f t="shared" si="1"/>
        <v>55.29999999999999</v>
      </c>
      <c r="O11" s="74">
        <f t="shared" si="1"/>
        <v>172.85099999999997</v>
      </c>
      <c r="P11" s="74">
        <f t="shared" si="1"/>
        <v>154.19999999999999</v>
      </c>
      <c r="Q11" s="74">
        <f t="shared" si="1"/>
        <v>16.25</v>
      </c>
      <c r="R11" s="74">
        <f t="shared" si="1"/>
        <v>56.304749999999999</v>
      </c>
      <c r="S11" s="74">
        <f t="shared" si="1"/>
        <v>0</v>
      </c>
      <c r="T11" s="74">
        <f t="shared" si="1"/>
        <v>0</v>
      </c>
      <c r="U11" s="74">
        <f t="shared" si="1"/>
        <v>14.260000000000002</v>
      </c>
      <c r="V11" s="74">
        <f t="shared" si="1"/>
        <v>78.05753</v>
      </c>
      <c r="W11" s="74">
        <f t="shared" si="1"/>
        <v>23.100000000000005</v>
      </c>
      <c r="X11" s="74">
        <f t="shared" si="1"/>
        <v>53.774999999999984</v>
      </c>
      <c r="Y11" s="74">
        <f t="shared" si="1"/>
        <v>232.48010924999994</v>
      </c>
      <c r="Z11" s="74">
        <f t="shared" si="1"/>
        <v>5369.2764120449992</v>
      </c>
      <c r="AA11" s="417"/>
    </row>
    <row r="12" spans="1:32" x14ac:dyDescent="0.45">
      <c r="A12" s="71"/>
      <c r="B12" s="79" t="s">
        <v>434</v>
      </c>
      <c r="C12" s="80"/>
      <c r="D12" s="81"/>
      <c r="E12" s="82"/>
      <c r="F12" s="82"/>
      <c r="G12" s="82"/>
      <c r="H12" s="82"/>
      <c r="I12" s="82"/>
      <c r="J12" s="82"/>
      <c r="K12" s="82"/>
      <c r="L12" s="82"/>
      <c r="M12" s="82"/>
      <c r="N12" s="82"/>
      <c r="O12" s="82"/>
      <c r="P12" s="82"/>
      <c r="Q12" s="82"/>
      <c r="R12" s="82"/>
      <c r="S12" s="82"/>
      <c r="T12" s="82"/>
      <c r="U12" s="82"/>
      <c r="V12" s="82"/>
      <c r="W12" s="82"/>
      <c r="X12" s="82"/>
      <c r="Y12" s="82"/>
      <c r="Z12" s="83"/>
      <c r="AA12" s="75"/>
    </row>
    <row r="13" spans="1:32" x14ac:dyDescent="0.45">
      <c r="A13" s="416">
        <v>1</v>
      </c>
      <c r="B13" s="84" t="s">
        <v>435</v>
      </c>
      <c r="C13" s="67">
        <f>C14+C208</f>
        <v>192</v>
      </c>
      <c r="D13" s="67">
        <f t="shared" ref="D13:Z13" si="2">D14+D208</f>
        <v>181</v>
      </c>
      <c r="E13" s="85">
        <f t="shared" si="2"/>
        <v>1730.9755942499996</v>
      </c>
      <c r="F13" s="85">
        <f t="shared" si="2"/>
        <v>654.62000000000012</v>
      </c>
      <c r="G13" s="85">
        <f t="shared" si="2"/>
        <v>907.91070999999988</v>
      </c>
      <c r="H13" s="85">
        <f t="shared" si="2"/>
        <v>141.59999999999994</v>
      </c>
      <c r="I13" s="85">
        <f t="shared" si="2"/>
        <v>14.150000000000002</v>
      </c>
      <c r="J13" s="85">
        <f t="shared" si="2"/>
        <v>0.15000000000000002</v>
      </c>
      <c r="K13" s="85">
        <f t="shared" si="2"/>
        <v>2.2454000000000001</v>
      </c>
      <c r="L13" s="85">
        <f t="shared" si="2"/>
        <v>100.09999999999994</v>
      </c>
      <c r="M13" s="85">
        <f t="shared" si="2"/>
        <v>423.34377999999998</v>
      </c>
      <c r="N13" s="85">
        <f t="shared" si="2"/>
        <v>34.999999999999993</v>
      </c>
      <c r="O13" s="85">
        <f t="shared" si="2"/>
        <v>122.85699999999997</v>
      </c>
      <c r="P13" s="85">
        <f t="shared" si="2"/>
        <v>109.39999999999998</v>
      </c>
      <c r="Q13" s="85">
        <f t="shared" si="2"/>
        <v>0</v>
      </c>
      <c r="R13" s="85">
        <f t="shared" si="2"/>
        <v>0</v>
      </c>
      <c r="S13" s="85">
        <f t="shared" si="2"/>
        <v>0</v>
      </c>
      <c r="T13" s="85">
        <f t="shared" si="2"/>
        <v>0</v>
      </c>
      <c r="U13" s="85">
        <f t="shared" si="2"/>
        <v>14.13</v>
      </c>
      <c r="V13" s="85">
        <f t="shared" si="2"/>
        <v>77.628529999999998</v>
      </c>
      <c r="W13" s="85">
        <f t="shared" si="2"/>
        <v>22.300000000000004</v>
      </c>
      <c r="X13" s="85">
        <f t="shared" si="2"/>
        <v>34.199999999999982</v>
      </c>
      <c r="Y13" s="85">
        <f t="shared" si="2"/>
        <v>168.44488424999997</v>
      </c>
      <c r="Z13" s="85">
        <f t="shared" si="2"/>
        <v>4050.482890544999</v>
      </c>
      <c r="AA13" s="75"/>
      <c r="AB13" s="93">
        <f>E13*12*1.49</f>
        <v>30949.843625189995</v>
      </c>
      <c r="AC13" s="93"/>
    </row>
    <row r="14" spans="1:32" s="90" customFormat="1" x14ac:dyDescent="0.45">
      <c r="A14" s="86"/>
      <c r="B14" s="87" t="s">
        <v>436</v>
      </c>
      <c r="C14" s="419">
        <f>C15+C67+C101+C145+C162</f>
        <v>192</v>
      </c>
      <c r="D14" s="419">
        <f t="shared" ref="D14:Z14" si="3">D15+D67+D101+D145+D162</f>
        <v>181</v>
      </c>
      <c r="E14" s="85">
        <f t="shared" si="3"/>
        <v>1730.9755942499996</v>
      </c>
      <c r="F14" s="85">
        <f t="shared" si="3"/>
        <v>654.62000000000012</v>
      </c>
      <c r="G14" s="85">
        <f t="shared" si="3"/>
        <v>907.91070999999988</v>
      </c>
      <c r="H14" s="85">
        <f t="shared" si="3"/>
        <v>141.59999999999994</v>
      </c>
      <c r="I14" s="85">
        <f t="shared" si="3"/>
        <v>14.150000000000002</v>
      </c>
      <c r="J14" s="85">
        <f t="shared" si="3"/>
        <v>0.15000000000000002</v>
      </c>
      <c r="K14" s="85">
        <f t="shared" si="3"/>
        <v>2.2454000000000001</v>
      </c>
      <c r="L14" s="85">
        <f t="shared" si="3"/>
        <v>100.09999999999994</v>
      </c>
      <c r="M14" s="85">
        <f t="shared" si="3"/>
        <v>423.34377999999998</v>
      </c>
      <c r="N14" s="85">
        <f t="shared" si="3"/>
        <v>34.999999999999993</v>
      </c>
      <c r="O14" s="85">
        <f t="shared" si="3"/>
        <v>122.85699999999997</v>
      </c>
      <c r="P14" s="85">
        <f t="shared" si="3"/>
        <v>109.39999999999998</v>
      </c>
      <c r="Q14" s="85">
        <f t="shared" si="3"/>
        <v>0</v>
      </c>
      <c r="R14" s="85">
        <f t="shared" si="3"/>
        <v>0</v>
      </c>
      <c r="S14" s="85">
        <f t="shared" si="3"/>
        <v>0</v>
      </c>
      <c r="T14" s="85">
        <f t="shared" si="3"/>
        <v>0</v>
      </c>
      <c r="U14" s="85">
        <f t="shared" si="3"/>
        <v>14.13</v>
      </c>
      <c r="V14" s="85">
        <f t="shared" si="3"/>
        <v>77.628529999999998</v>
      </c>
      <c r="W14" s="85">
        <f t="shared" si="3"/>
        <v>22.300000000000004</v>
      </c>
      <c r="X14" s="85">
        <f t="shared" si="3"/>
        <v>34.199999999999982</v>
      </c>
      <c r="Y14" s="85">
        <f t="shared" si="3"/>
        <v>168.44488424999997</v>
      </c>
      <c r="Z14" s="85">
        <f t="shared" si="3"/>
        <v>4050.482890544999</v>
      </c>
      <c r="AA14" s="88"/>
      <c r="AB14" s="89"/>
      <c r="AC14" s="89"/>
      <c r="AD14" s="89"/>
      <c r="AE14" s="89"/>
      <c r="AF14" s="89"/>
    </row>
    <row r="15" spans="1:32" s="90" customFormat="1" x14ac:dyDescent="0.45">
      <c r="A15" s="416"/>
      <c r="B15" s="91" t="s">
        <v>437</v>
      </c>
      <c r="C15" s="419">
        <v>51</v>
      </c>
      <c r="D15" s="419">
        <v>46</v>
      </c>
      <c r="E15" s="92">
        <f>SUM(E16:E66)</f>
        <v>422.04842329999991</v>
      </c>
      <c r="F15" s="92">
        <f>SUM(F16:F66)</f>
        <v>159.0200000000001</v>
      </c>
      <c r="G15" s="92">
        <f>SUM(G16:G66)</f>
        <v>221.84386799999993</v>
      </c>
      <c r="H15" s="92">
        <f>SUM(H16:H66)</f>
        <v>35.699999999999996</v>
      </c>
      <c r="I15" s="92">
        <f>SUM(I16:I66)</f>
        <v>3.3000000000000003</v>
      </c>
      <c r="J15" s="92"/>
      <c r="K15" s="92">
        <f>SUM(K16:K66)</f>
        <v>1.5719999999999998</v>
      </c>
      <c r="L15" s="92"/>
      <c r="M15" s="92">
        <f>SUM(M16:M66)</f>
        <v>98.87939999999999</v>
      </c>
      <c r="N15" s="92"/>
      <c r="O15" s="92">
        <f>SUM(O16:O66)</f>
        <v>39.241999999999976</v>
      </c>
      <c r="P15" s="92">
        <f>SUM(P16:P66)</f>
        <v>23.4</v>
      </c>
      <c r="Q15" s="92"/>
      <c r="R15" s="92">
        <f>SUM(R16:R66)</f>
        <v>0</v>
      </c>
      <c r="S15" s="92"/>
      <c r="T15" s="92">
        <f>SUM(T16:T66)</f>
        <v>0</v>
      </c>
      <c r="U15" s="92"/>
      <c r="V15" s="92">
        <f>SUM(V16:V66)</f>
        <v>19.150468</v>
      </c>
      <c r="W15" s="92">
        <f>SUM(W16:W66)</f>
        <v>0.60000000000000009</v>
      </c>
      <c r="X15" s="92"/>
      <c r="Y15" s="92">
        <f>SUM(Y16:Y66)</f>
        <v>41.184555299999964</v>
      </c>
      <c r="Z15" s="92">
        <f>SUM(Z16:Z66)</f>
        <v>987.59331052199968</v>
      </c>
      <c r="AA15" s="88"/>
      <c r="AB15" s="93">
        <f>E15*12*2.34</f>
        <v>11851.119726263996</v>
      </c>
      <c r="AC15" s="93">
        <f>F15*10%*2.34*12</f>
        <v>446.52816000000018</v>
      </c>
      <c r="AD15" s="89"/>
      <c r="AE15" s="89"/>
      <c r="AF15" s="89"/>
    </row>
    <row r="16" spans="1:32" s="90" customFormat="1" x14ac:dyDescent="0.45">
      <c r="A16" s="94" t="s">
        <v>188</v>
      </c>
      <c r="B16" s="95" t="s">
        <v>438</v>
      </c>
      <c r="C16" s="96"/>
      <c r="D16" s="96"/>
      <c r="E16" s="97">
        <f>F16+G16+Y16</f>
        <v>12.439960000000001</v>
      </c>
      <c r="F16" s="97">
        <v>4.34</v>
      </c>
      <c r="G16" s="97">
        <f>H16+I16+K16+M16+O16+P16+R16+T16+V16+W16</f>
        <v>6.7496</v>
      </c>
      <c r="H16" s="97">
        <v>0.7</v>
      </c>
      <c r="I16" s="97">
        <v>0.5</v>
      </c>
      <c r="J16" s="97"/>
      <c r="K16" s="97"/>
      <c r="L16" s="97">
        <v>0.7</v>
      </c>
      <c r="M16" s="97">
        <f>L16*(F16+I16+K16)</f>
        <v>3.3879999999999999</v>
      </c>
      <c r="N16" s="97"/>
      <c r="O16" s="97"/>
      <c r="P16" s="97">
        <v>1</v>
      </c>
      <c r="Q16" s="97"/>
      <c r="R16" s="97"/>
      <c r="S16" s="97"/>
      <c r="T16" s="97"/>
      <c r="U16" s="97">
        <v>0.24</v>
      </c>
      <c r="V16" s="97">
        <f>U16*(F16+I16+K16)</f>
        <v>1.1616</v>
      </c>
      <c r="W16" s="97"/>
      <c r="X16" s="97">
        <v>0.22500000000000001</v>
      </c>
      <c r="Y16" s="97">
        <f>(F16+I16+K16+V16)*X16</f>
        <v>1.35036</v>
      </c>
      <c r="Z16" s="98">
        <f>E16*2.34</f>
        <v>29.109506400000001</v>
      </c>
      <c r="AA16" s="88"/>
      <c r="AB16" s="89"/>
      <c r="AC16" s="89"/>
      <c r="AD16" s="89"/>
      <c r="AE16" s="89"/>
      <c r="AF16" s="89"/>
    </row>
    <row r="17" spans="1:32" s="90" customFormat="1" x14ac:dyDescent="0.45">
      <c r="A17" s="94" t="s">
        <v>439</v>
      </c>
      <c r="B17" s="95" t="s">
        <v>440</v>
      </c>
      <c r="C17" s="96"/>
      <c r="D17" s="96"/>
      <c r="E17" s="97">
        <f t="shared" ref="E17:E66" si="4">F17+G17+Y17</f>
        <v>11.637409999999999</v>
      </c>
      <c r="F17" s="97">
        <v>4.34</v>
      </c>
      <c r="G17" s="97">
        <f t="shared" ref="G17:G66" si="5">H17+I17+K17+M17+O17+P17+R17+T17+V17+W17</f>
        <v>6.0815999999999999</v>
      </c>
      <c r="H17" s="97">
        <v>0.7</v>
      </c>
      <c r="I17" s="97">
        <v>0.4</v>
      </c>
      <c r="J17" s="97"/>
      <c r="K17" s="97"/>
      <c r="L17" s="97">
        <v>0.7</v>
      </c>
      <c r="M17" s="97">
        <f t="shared" ref="M17:M58" si="6">L17*(F17+I17+K17)</f>
        <v>3.3180000000000001</v>
      </c>
      <c r="N17" s="97"/>
      <c r="O17" s="97"/>
      <c r="P17" s="97">
        <v>1</v>
      </c>
      <c r="Q17" s="97"/>
      <c r="R17" s="97"/>
      <c r="S17" s="97"/>
      <c r="T17" s="97"/>
      <c r="U17" s="97">
        <v>0.14000000000000001</v>
      </c>
      <c r="V17" s="97">
        <f t="shared" ref="V17:V30" si="7">U17*(F17+I17+K17)</f>
        <v>0.66360000000000008</v>
      </c>
      <c r="W17" s="97"/>
      <c r="X17" s="97">
        <v>0.22500000000000001</v>
      </c>
      <c r="Y17" s="97">
        <f t="shared" ref="Y17:Y80" si="8">(F17+I17+K17+V17)*X17</f>
        <v>1.2158100000000001</v>
      </c>
      <c r="Z17" s="98">
        <f t="shared" ref="Z17:Z80" si="9">E17*2.34</f>
        <v>27.231539399999996</v>
      </c>
      <c r="AA17" s="88"/>
      <c r="AB17" s="382">
        <f>SUM(F16:F60)</f>
        <v>144.66000000000008</v>
      </c>
      <c r="AC17" s="382">
        <f>AB17*10%*2.34*12</f>
        <v>406.20528000000024</v>
      </c>
      <c r="AD17" s="89"/>
      <c r="AE17" s="89"/>
      <c r="AF17" s="89"/>
    </row>
    <row r="18" spans="1:32" s="90" customFormat="1" x14ac:dyDescent="0.45">
      <c r="A18" s="94" t="s">
        <v>441</v>
      </c>
      <c r="B18" s="95" t="s">
        <v>442</v>
      </c>
      <c r="C18" s="96"/>
      <c r="D18" s="96"/>
      <c r="E18" s="97">
        <f t="shared" si="4"/>
        <v>11.927735</v>
      </c>
      <c r="F18" s="97">
        <v>4.34</v>
      </c>
      <c r="G18" s="97">
        <f t="shared" si="5"/>
        <v>6.3186</v>
      </c>
      <c r="H18" s="97">
        <v>0.7</v>
      </c>
      <c r="I18" s="97">
        <v>0.4</v>
      </c>
      <c r="J18" s="97"/>
      <c r="K18" s="97"/>
      <c r="L18" s="97">
        <v>0.7</v>
      </c>
      <c r="M18" s="97">
        <f t="shared" si="6"/>
        <v>3.3180000000000001</v>
      </c>
      <c r="N18" s="97"/>
      <c r="O18" s="97"/>
      <c r="P18" s="97">
        <v>1</v>
      </c>
      <c r="Q18" s="97"/>
      <c r="R18" s="97"/>
      <c r="S18" s="97"/>
      <c r="T18" s="97"/>
      <c r="U18" s="97">
        <v>0.19</v>
      </c>
      <c r="V18" s="97">
        <f t="shared" si="7"/>
        <v>0.90060000000000007</v>
      </c>
      <c r="W18" s="97"/>
      <c r="X18" s="97">
        <v>0.22500000000000001</v>
      </c>
      <c r="Y18" s="97">
        <f t="shared" si="8"/>
        <v>1.2691350000000001</v>
      </c>
      <c r="Z18" s="98">
        <f t="shared" si="9"/>
        <v>27.9108999</v>
      </c>
      <c r="AA18" s="88"/>
      <c r="AB18" s="89"/>
      <c r="AC18" s="89"/>
      <c r="AD18" s="89"/>
      <c r="AE18" s="89"/>
      <c r="AF18" s="89"/>
    </row>
    <row r="19" spans="1:32" s="90" customFormat="1" x14ac:dyDescent="0.45">
      <c r="A19" s="94" t="s">
        <v>443</v>
      </c>
      <c r="B19" s="95" t="s">
        <v>444</v>
      </c>
      <c r="C19" s="96"/>
      <c r="D19" s="96"/>
      <c r="E19" s="97">
        <f>F19+G19+Y19</f>
        <v>9.7370000000000001</v>
      </c>
      <c r="F19" s="97">
        <v>4</v>
      </c>
      <c r="G19" s="97">
        <f t="shared" si="5"/>
        <v>4.7200000000000006</v>
      </c>
      <c r="H19" s="97">
        <v>0.7</v>
      </c>
      <c r="I19" s="97"/>
      <c r="J19" s="97"/>
      <c r="K19" s="97"/>
      <c r="L19" s="97">
        <v>0.7</v>
      </c>
      <c r="M19" s="97">
        <f t="shared" si="6"/>
        <v>2.8</v>
      </c>
      <c r="N19" s="97"/>
      <c r="O19" s="97"/>
      <c r="P19" s="97">
        <v>0.7</v>
      </c>
      <c r="Q19" s="97"/>
      <c r="R19" s="97"/>
      <c r="S19" s="97"/>
      <c r="T19" s="97"/>
      <c r="U19" s="97">
        <v>0.13</v>
      </c>
      <c r="V19" s="97">
        <f t="shared" si="7"/>
        <v>0.52</v>
      </c>
      <c r="W19" s="97"/>
      <c r="X19" s="97">
        <v>0.22500000000000001</v>
      </c>
      <c r="Y19" s="97">
        <f t="shared" si="8"/>
        <v>1.0169999999999999</v>
      </c>
      <c r="Z19" s="98">
        <f t="shared" si="9"/>
        <v>22.784579999999998</v>
      </c>
      <c r="AA19" s="88"/>
      <c r="AB19" s="89"/>
      <c r="AC19" s="89"/>
      <c r="AD19" s="89"/>
      <c r="AE19" s="89"/>
      <c r="AF19" s="89"/>
    </row>
    <row r="20" spans="1:32" s="90" customFormat="1" x14ac:dyDescent="0.45">
      <c r="A20" s="94" t="s">
        <v>445</v>
      </c>
      <c r="B20" s="95" t="s">
        <v>446</v>
      </c>
      <c r="C20" s="96"/>
      <c r="D20" s="96"/>
      <c r="E20" s="97">
        <f t="shared" si="4"/>
        <v>9.7370000000000001</v>
      </c>
      <c r="F20" s="97">
        <v>4</v>
      </c>
      <c r="G20" s="97">
        <f t="shared" si="5"/>
        <v>4.7200000000000006</v>
      </c>
      <c r="H20" s="97">
        <v>0.7</v>
      </c>
      <c r="I20" s="97"/>
      <c r="J20" s="97"/>
      <c r="K20" s="97"/>
      <c r="L20" s="97">
        <v>0.7</v>
      </c>
      <c r="M20" s="97">
        <f t="shared" si="6"/>
        <v>2.8</v>
      </c>
      <c r="N20" s="97"/>
      <c r="O20" s="97"/>
      <c r="P20" s="97">
        <v>0.7</v>
      </c>
      <c r="Q20" s="97"/>
      <c r="R20" s="97"/>
      <c r="S20" s="97"/>
      <c r="T20" s="97"/>
      <c r="U20" s="97">
        <v>0.13</v>
      </c>
      <c r="V20" s="97">
        <f t="shared" si="7"/>
        <v>0.52</v>
      </c>
      <c r="W20" s="97"/>
      <c r="X20" s="97">
        <v>0.22500000000000001</v>
      </c>
      <c r="Y20" s="97">
        <f t="shared" si="8"/>
        <v>1.0169999999999999</v>
      </c>
      <c r="Z20" s="98">
        <f t="shared" si="9"/>
        <v>22.784579999999998</v>
      </c>
      <c r="AA20" s="88"/>
      <c r="AB20" s="89"/>
      <c r="AC20" s="89"/>
      <c r="AD20" s="89"/>
      <c r="AE20" s="89"/>
      <c r="AF20" s="89"/>
    </row>
    <row r="21" spans="1:32" s="90" customFormat="1" x14ac:dyDescent="0.45">
      <c r="A21" s="94" t="s">
        <v>447</v>
      </c>
      <c r="B21" s="95" t="s">
        <v>448</v>
      </c>
      <c r="C21" s="96"/>
      <c r="D21" s="96"/>
      <c r="E21" s="97">
        <f t="shared" si="4"/>
        <v>9.5900000000000016</v>
      </c>
      <c r="F21" s="97">
        <v>4</v>
      </c>
      <c r="G21" s="97">
        <f t="shared" si="5"/>
        <v>4.6000000000000005</v>
      </c>
      <c r="H21" s="97">
        <v>0.7</v>
      </c>
      <c r="I21" s="97"/>
      <c r="J21" s="97"/>
      <c r="K21" s="97"/>
      <c r="L21" s="97">
        <v>0.7</v>
      </c>
      <c r="M21" s="97">
        <f t="shared" si="6"/>
        <v>2.8</v>
      </c>
      <c r="N21" s="97"/>
      <c r="O21" s="97"/>
      <c r="P21" s="97">
        <v>0.7</v>
      </c>
      <c r="Q21" s="97"/>
      <c r="R21" s="97"/>
      <c r="S21" s="97"/>
      <c r="T21" s="97"/>
      <c r="U21" s="97">
        <v>0.1</v>
      </c>
      <c r="V21" s="97">
        <f t="shared" si="7"/>
        <v>0.4</v>
      </c>
      <c r="W21" s="97"/>
      <c r="X21" s="97">
        <v>0.22500000000000001</v>
      </c>
      <c r="Y21" s="97">
        <f t="shared" si="8"/>
        <v>0.9900000000000001</v>
      </c>
      <c r="Z21" s="98">
        <f t="shared" si="9"/>
        <v>22.440600000000003</v>
      </c>
      <c r="AA21" s="88"/>
      <c r="AB21" s="89"/>
      <c r="AC21" s="89"/>
      <c r="AD21" s="89"/>
      <c r="AE21" s="89"/>
      <c r="AF21" s="89"/>
    </row>
    <row r="22" spans="1:32" s="90" customFormat="1" x14ac:dyDescent="0.45">
      <c r="A22" s="94" t="s">
        <v>449</v>
      </c>
      <c r="B22" s="95" t="s">
        <v>450</v>
      </c>
      <c r="C22" s="96"/>
      <c r="D22" s="96"/>
      <c r="E22" s="97">
        <f t="shared" si="4"/>
        <v>7.0060099999999998</v>
      </c>
      <c r="F22" s="97">
        <v>2.67</v>
      </c>
      <c r="G22" s="97">
        <f t="shared" si="5"/>
        <v>3.6385999999999998</v>
      </c>
      <c r="H22" s="97">
        <v>0.7</v>
      </c>
      <c r="I22" s="97">
        <v>0.2</v>
      </c>
      <c r="J22" s="97"/>
      <c r="K22" s="97"/>
      <c r="L22" s="97">
        <v>0.7</v>
      </c>
      <c r="M22" s="97">
        <f t="shared" si="6"/>
        <v>2.0089999999999999</v>
      </c>
      <c r="N22" s="97"/>
      <c r="O22" s="97"/>
      <c r="P22" s="97">
        <v>0.5</v>
      </c>
      <c r="Q22" s="97"/>
      <c r="R22" s="97"/>
      <c r="S22" s="97"/>
      <c r="T22" s="97"/>
      <c r="U22" s="97">
        <v>0.08</v>
      </c>
      <c r="V22" s="97">
        <f t="shared" si="7"/>
        <v>0.22960000000000003</v>
      </c>
      <c r="W22" s="97"/>
      <c r="X22" s="97">
        <v>0.22500000000000001</v>
      </c>
      <c r="Y22" s="97">
        <f t="shared" si="8"/>
        <v>0.69741000000000009</v>
      </c>
      <c r="Z22" s="98">
        <f t="shared" si="9"/>
        <v>16.3940634</v>
      </c>
      <c r="AA22" s="88"/>
      <c r="AB22" s="89"/>
      <c r="AC22" s="89"/>
      <c r="AD22" s="89"/>
      <c r="AE22" s="89"/>
      <c r="AF22" s="89"/>
    </row>
    <row r="23" spans="1:32" s="90" customFormat="1" x14ac:dyDescent="0.45">
      <c r="A23" s="94" t="s">
        <v>451</v>
      </c>
      <c r="B23" s="95" t="s">
        <v>452</v>
      </c>
      <c r="C23" s="96"/>
      <c r="D23" s="96"/>
      <c r="E23" s="97">
        <f t="shared" si="4"/>
        <v>7.0060099999999998</v>
      </c>
      <c r="F23" s="97">
        <v>2.67</v>
      </c>
      <c r="G23" s="97">
        <f t="shared" si="5"/>
        <v>3.6385999999999998</v>
      </c>
      <c r="H23" s="97">
        <v>0.7</v>
      </c>
      <c r="I23" s="97">
        <v>0.2</v>
      </c>
      <c r="J23" s="97"/>
      <c r="K23" s="97"/>
      <c r="L23" s="97">
        <v>0.7</v>
      </c>
      <c r="M23" s="97">
        <f t="shared" si="6"/>
        <v>2.0089999999999999</v>
      </c>
      <c r="N23" s="97"/>
      <c r="O23" s="97"/>
      <c r="P23" s="97">
        <v>0.5</v>
      </c>
      <c r="Q23" s="97"/>
      <c r="R23" s="97"/>
      <c r="S23" s="97"/>
      <c r="T23" s="97"/>
      <c r="U23" s="97">
        <v>0.08</v>
      </c>
      <c r="V23" s="97">
        <f t="shared" si="7"/>
        <v>0.22960000000000003</v>
      </c>
      <c r="W23" s="97"/>
      <c r="X23" s="97">
        <v>0.22500000000000001</v>
      </c>
      <c r="Y23" s="97">
        <f t="shared" si="8"/>
        <v>0.69741000000000009</v>
      </c>
      <c r="Z23" s="98">
        <f t="shared" si="9"/>
        <v>16.3940634</v>
      </c>
      <c r="AA23" s="88"/>
      <c r="AB23" s="89"/>
      <c r="AC23" s="89"/>
      <c r="AD23" s="89"/>
      <c r="AE23" s="89"/>
      <c r="AF23" s="89"/>
    </row>
    <row r="24" spans="1:32" s="90" customFormat="1" x14ac:dyDescent="0.45">
      <c r="A24" s="94" t="s">
        <v>453</v>
      </c>
      <c r="B24" s="95" t="s">
        <v>454</v>
      </c>
      <c r="C24" s="96"/>
      <c r="D24" s="96"/>
      <c r="E24" s="97">
        <f t="shared" si="4"/>
        <v>11.444839999999999</v>
      </c>
      <c r="F24" s="97">
        <v>4.32</v>
      </c>
      <c r="G24" s="97">
        <f t="shared" si="5"/>
        <v>5.8904000000000005</v>
      </c>
      <c r="H24" s="97">
        <v>0.7</v>
      </c>
      <c r="I24" s="97"/>
      <c r="J24" s="97"/>
      <c r="K24" s="97"/>
      <c r="L24" s="97">
        <v>0.7</v>
      </c>
      <c r="M24" s="97">
        <f t="shared" si="6"/>
        <v>3.024</v>
      </c>
      <c r="N24" s="97"/>
      <c r="O24" s="97"/>
      <c r="P24" s="97">
        <v>1</v>
      </c>
      <c r="Q24" s="97"/>
      <c r="R24" s="97"/>
      <c r="S24" s="97"/>
      <c r="T24" s="97"/>
      <c r="U24" s="97">
        <v>0.27</v>
      </c>
      <c r="V24" s="97">
        <f t="shared" si="7"/>
        <v>1.1664000000000001</v>
      </c>
      <c r="W24" s="97"/>
      <c r="X24" s="97">
        <v>0.22500000000000001</v>
      </c>
      <c r="Y24" s="97">
        <f t="shared" si="8"/>
        <v>1.2344400000000002</v>
      </c>
      <c r="Z24" s="98">
        <f t="shared" si="9"/>
        <v>26.780925599999996</v>
      </c>
      <c r="AA24" s="88"/>
      <c r="AB24" s="89"/>
      <c r="AC24" s="89"/>
      <c r="AD24" s="89"/>
      <c r="AE24" s="89"/>
      <c r="AF24" s="89"/>
    </row>
    <row r="25" spans="1:32" s="90" customFormat="1" x14ac:dyDescent="0.45">
      <c r="A25" s="94" t="s">
        <v>455</v>
      </c>
      <c r="B25" s="95" t="s">
        <v>456</v>
      </c>
      <c r="C25" s="96"/>
      <c r="D25" s="96"/>
      <c r="E25" s="97">
        <f t="shared" si="4"/>
        <v>9.9816300000000009</v>
      </c>
      <c r="F25" s="97">
        <v>3.66</v>
      </c>
      <c r="G25" s="97">
        <f t="shared" si="5"/>
        <v>5.2968000000000002</v>
      </c>
      <c r="H25" s="97">
        <v>0.7</v>
      </c>
      <c r="I25" s="97">
        <v>0.2</v>
      </c>
      <c r="J25" s="97"/>
      <c r="K25" s="97"/>
      <c r="L25" s="97">
        <v>0.7</v>
      </c>
      <c r="M25" s="97">
        <f t="shared" si="6"/>
        <v>2.702</v>
      </c>
      <c r="N25" s="97"/>
      <c r="O25" s="97"/>
      <c r="P25" s="97">
        <v>1</v>
      </c>
      <c r="Q25" s="97"/>
      <c r="R25" s="97"/>
      <c r="S25" s="97"/>
      <c r="T25" s="97"/>
      <c r="U25" s="97">
        <v>0.18</v>
      </c>
      <c r="V25" s="97">
        <f t="shared" si="7"/>
        <v>0.69480000000000008</v>
      </c>
      <c r="W25" s="97"/>
      <c r="X25" s="97">
        <v>0.22500000000000001</v>
      </c>
      <c r="Y25" s="97">
        <f t="shared" si="8"/>
        <v>1.0248300000000001</v>
      </c>
      <c r="Z25" s="98">
        <f t="shared" si="9"/>
        <v>23.357014200000002</v>
      </c>
      <c r="AA25" s="88"/>
      <c r="AB25" s="89"/>
      <c r="AC25" s="89"/>
      <c r="AD25" s="89"/>
      <c r="AE25" s="89"/>
      <c r="AF25" s="89"/>
    </row>
    <row r="26" spans="1:32" s="90" customFormat="1" x14ac:dyDescent="0.45">
      <c r="A26" s="94" t="s">
        <v>457</v>
      </c>
      <c r="B26" s="95" t="s">
        <v>458</v>
      </c>
      <c r="C26" s="96"/>
      <c r="D26" s="96"/>
      <c r="E26" s="97">
        <f t="shared" si="4"/>
        <v>10.38</v>
      </c>
      <c r="F26" s="97">
        <v>4</v>
      </c>
      <c r="G26" s="97">
        <f t="shared" si="5"/>
        <v>5.3</v>
      </c>
      <c r="H26" s="97">
        <v>0.7</v>
      </c>
      <c r="I26" s="97"/>
      <c r="J26" s="97"/>
      <c r="K26" s="97"/>
      <c r="L26" s="97">
        <v>0.7</v>
      </c>
      <c r="M26" s="97">
        <f t="shared" si="6"/>
        <v>2.8</v>
      </c>
      <c r="N26" s="97"/>
      <c r="O26" s="97"/>
      <c r="P26" s="97">
        <v>1</v>
      </c>
      <c r="Q26" s="97"/>
      <c r="R26" s="97"/>
      <c r="S26" s="97"/>
      <c r="T26" s="97"/>
      <c r="U26" s="97">
        <v>0.2</v>
      </c>
      <c r="V26" s="97">
        <f t="shared" si="7"/>
        <v>0.8</v>
      </c>
      <c r="W26" s="97"/>
      <c r="X26" s="97">
        <v>0.22500000000000001</v>
      </c>
      <c r="Y26" s="97">
        <f t="shared" si="8"/>
        <v>1.08</v>
      </c>
      <c r="Z26" s="98">
        <f t="shared" si="9"/>
        <v>24.289200000000001</v>
      </c>
      <c r="AA26" s="88"/>
      <c r="AB26" s="89"/>
      <c r="AC26" s="89"/>
      <c r="AD26" s="89"/>
      <c r="AE26" s="89"/>
      <c r="AF26" s="89"/>
    </row>
    <row r="27" spans="1:32" s="90" customFormat="1" x14ac:dyDescent="0.45">
      <c r="A27" s="94" t="s">
        <v>459</v>
      </c>
      <c r="B27" s="95" t="s">
        <v>460</v>
      </c>
      <c r="C27" s="96"/>
      <c r="D27" s="96"/>
      <c r="E27" s="97">
        <f t="shared" si="4"/>
        <v>6.2450749999999999</v>
      </c>
      <c r="F27" s="97">
        <v>2.34</v>
      </c>
      <c r="G27" s="97">
        <f t="shared" si="5"/>
        <v>3.3049999999999997</v>
      </c>
      <c r="H27" s="97">
        <v>0.7</v>
      </c>
      <c r="I27" s="97">
        <v>0.2</v>
      </c>
      <c r="J27" s="97"/>
      <c r="K27" s="97"/>
      <c r="L27" s="97">
        <v>0.7</v>
      </c>
      <c r="M27" s="97">
        <f t="shared" si="6"/>
        <v>1.7779999999999998</v>
      </c>
      <c r="N27" s="97"/>
      <c r="O27" s="97"/>
      <c r="P27" s="97">
        <v>0.5</v>
      </c>
      <c r="Q27" s="97"/>
      <c r="R27" s="97"/>
      <c r="S27" s="97"/>
      <c r="T27" s="97"/>
      <c r="U27" s="97">
        <v>0.05</v>
      </c>
      <c r="V27" s="97">
        <f t="shared" si="7"/>
        <v>0.127</v>
      </c>
      <c r="W27" s="97"/>
      <c r="X27" s="97">
        <v>0.22500000000000001</v>
      </c>
      <c r="Y27" s="97">
        <f t="shared" si="8"/>
        <v>0.60007500000000003</v>
      </c>
      <c r="Z27" s="98">
        <f t="shared" si="9"/>
        <v>14.6134755</v>
      </c>
      <c r="AA27" s="88"/>
      <c r="AB27" s="89"/>
      <c r="AC27" s="89"/>
      <c r="AD27" s="89"/>
      <c r="AE27" s="89"/>
      <c r="AF27" s="89"/>
    </row>
    <row r="28" spans="1:32" s="90" customFormat="1" x14ac:dyDescent="0.45">
      <c r="A28" s="94" t="s">
        <v>461</v>
      </c>
      <c r="B28" s="95" t="s">
        <v>462</v>
      </c>
      <c r="C28" s="96"/>
      <c r="D28" s="96"/>
      <c r="E28" s="97">
        <f t="shared" si="4"/>
        <v>11.97523</v>
      </c>
      <c r="F28" s="97">
        <v>4.58</v>
      </c>
      <c r="G28" s="97">
        <f t="shared" si="5"/>
        <v>6.0968</v>
      </c>
      <c r="H28" s="97">
        <v>0.7</v>
      </c>
      <c r="I28" s="97"/>
      <c r="J28" s="97"/>
      <c r="K28" s="97"/>
      <c r="L28" s="97">
        <v>0.7</v>
      </c>
      <c r="M28" s="97">
        <f t="shared" si="6"/>
        <v>3.206</v>
      </c>
      <c r="N28" s="97"/>
      <c r="O28" s="97"/>
      <c r="P28" s="97">
        <v>1</v>
      </c>
      <c r="Q28" s="97"/>
      <c r="R28" s="97"/>
      <c r="S28" s="97"/>
      <c r="T28" s="97"/>
      <c r="U28" s="97">
        <v>0.26</v>
      </c>
      <c r="V28" s="97">
        <f t="shared" si="7"/>
        <v>1.1908000000000001</v>
      </c>
      <c r="W28" s="97"/>
      <c r="X28" s="97">
        <v>0.22500000000000001</v>
      </c>
      <c r="Y28" s="97">
        <f t="shared" si="8"/>
        <v>1.2984300000000002</v>
      </c>
      <c r="Z28" s="98">
        <f t="shared" si="9"/>
        <v>28.022038199999997</v>
      </c>
      <c r="AA28" s="88"/>
      <c r="AB28" s="89"/>
      <c r="AC28" s="89"/>
      <c r="AD28" s="89"/>
      <c r="AE28" s="89"/>
      <c r="AF28" s="89"/>
    </row>
    <row r="29" spans="1:32" s="90" customFormat="1" x14ac:dyDescent="0.45">
      <c r="A29" s="94" t="s">
        <v>463</v>
      </c>
      <c r="B29" s="95" t="s">
        <v>464</v>
      </c>
      <c r="C29" s="96"/>
      <c r="D29" s="96"/>
      <c r="E29" s="97">
        <f t="shared" si="4"/>
        <v>6.9005375000000004</v>
      </c>
      <c r="F29" s="97">
        <v>2.67</v>
      </c>
      <c r="G29" s="97">
        <f t="shared" si="5"/>
        <v>3.5524999999999998</v>
      </c>
      <c r="H29" s="97">
        <v>0.7</v>
      </c>
      <c r="I29" s="97">
        <v>0.2</v>
      </c>
      <c r="J29" s="97"/>
      <c r="K29" s="97"/>
      <c r="L29" s="97">
        <v>0.7</v>
      </c>
      <c r="M29" s="97">
        <f t="shared" si="6"/>
        <v>2.0089999999999999</v>
      </c>
      <c r="N29" s="97"/>
      <c r="O29" s="97"/>
      <c r="P29" s="97">
        <v>0.5</v>
      </c>
      <c r="Q29" s="97"/>
      <c r="R29" s="97"/>
      <c r="S29" s="97"/>
      <c r="T29" s="97"/>
      <c r="U29" s="97">
        <v>0.05</v>
      </c>
      <c r="V29" s="97">
        <f t="shared" si="7"/>
        <v>0.14350000000000002</v>
      </c>
      <c r="W29" s="97"/>
      <c r="X29" s="97">
        <v>0.22500000000000001</v>
      </c>
      <c r="Y29" s="97">
        <f t="shared" si="8"/>
        <v>0.67803750000000007</v>
      </c>
      <c r="Z29" s="98">
        <f t="shared" si="9"/>
        <v>16.147257750000001</v>
      </c>
      <c r="AA29" s="88"/>
      <c r="AB29" s="89"/>
      <c r="AC29" s="89"/>
      <c r="AD29" s="89"/>
      <c r="AE29" s="89"/>
      <c r="AF29" s="89"/>
    </row>
    <row r="30" spans="1:32" s="90" customFormat="1" x14ac:dyDescent="0.45">
      <c r="A30" s="94" t="s">
        <v>465</v>
      </c>
      <c r="B30" s="95" t="s">
        <v>466</v>
      </c>
      <c r="C30" s="96"/>
      <c r="D30" s="96"/>
      <c r="E30" s="97">
        <f t="shared" si="4"/>
        <v>5.8478250000000003</v>
      </c>
      <c r="F30" s="97">
        <v>2.34</v>
      </c>
      <c r="G30" s="97">
        <f t="shared" si="5"/>
        <v>2.9550000000000001</v>
      </c>
      <c r="H30" s="97">
        <v>0.7</v>
      </c>
      <c r="I30" s="97"/>
      <c r="J30" s="97"/>
      <c r="K30" s="97"/>
      <c r="L30" s="97">
        <v>0.7</v>
      </c>
      <c r="M30" s="97">
        <f t="shared" si="6"/>
        <v>1.6379999999999999</v>
      </c>
      <c r="N30" s="97"/>
      <c r="O30" s="97"/>
      <c r="P30" s="97">
        <v>0.5</v>
      </c>
      <c r="Q30" s="97"/>
      <c r="R30" s="97"/>
      <c r="S30" s="97"/>
      <c r="T30" s="97"/>
      <c r="U30" s="97">
        <v>0.05</v>
      </c>
      <c r="V30" s="97">
        <f t="shared" si="7"/>
        <v>0.11699999999999999</v>
      </c>
      <c r="W30" s="97"/>
      <c r="X30" s="97">
        <v>0.22500000000000001</v>
      </c>
      <c r="Y30" s="97">
        <f t="shared" si="8"/>
        <v>0.55282500000000001</v>
      </c>
      <c r="Z30" s="98">
        <f t="shared" si="9"/>
        <v>13.6839105</v>
      </c>
      <c r="AA30" s="88"/>
      <c r="AB30" s="89"/>
      <c r="AC30" s="89"/>
      <c r="AD30" s="89"/>
      <c r="AE30" s="89"/>
      <c r="AF30" s="89"/>
    </row>
    <row r="31" spans="1:32" s="90" customFormat="1" x14ac:dyDescent="0.45">
      <c r="A31" s="94" t="s">
        <v>467</v>
      </c>
      <c r="B31" s="95" t="s">
        <v>468</v>
      </c>
      <c r="C31" s="96"/>
      <c r="D31" s="96"/>
      <c r="E31" s="97">
        <f t="shared" si="4"/>
        <v>8.1024999999999991</v>
      </c>
      <c r="F31" s="97">
        <v>2.67</v>
      </c>
      <c r="G31" s="97">
        <f t="shared" si="5"/>
        <v>4.798</v>
      </c>
      <c r="H31" s="97">
        <v>0.7</v>
      </c>
      <c r="I31" s="97">
        <v>0.15</v>
      </c>
      <c r="J31" s="97"/>
      <c r="K31" s="97"/>
      <c r="L31" s="97">
        <v>0.7</v>
      </c>
      <c r="M31" s="97">
        <f t="shared" si="6"/>
        <v>1.9739999999999998</v>
      </c>
      <c r="N31" s="97">
        <v>0.7</v>
      </c>
      <c r="O31" s="97">
        <f>N31*(F31+I31+K31)</f>
        <v>1.9739999999999998</v>
      </c>
      <c r="P31" s="97"/>
      <c r="Q31" s="97"/>
      <c r="R31" s="97"/>
      <c r="S31" s="97"/>
      <c r="T31" s="97"/>
      <c r="U31" s="97"/>
      <c r="V31" s="97"/>
      <c r="W31" s="97"/>
      <c r="X31" s="97">
        <v>0.22500000000000001</v>
      </c>
      <c r="Y31" s="97">
        <f t="shared" si="8"/>
        <v>0.63449999999999995</v>
      </c>
      <c r="Z31" s="98">
        <f t="shared" si="9"/>
        <v>18.959849999999996</v>
      </c>
      <c r="AA31" s="88"/>
      <c r="AB31" s="89"/>
      <c r="AC31" s="89"/>
      <c r="AD31" s="89"/>
      <c r="AE31" s="89"/>
      <c r="AF31" s="89"/>
    </row>
    <row r="32" spans="1:32" s="90" customFormat="1" x14ac:dyDescent="0.45">
      <c r="A32" s="94" t="s">
        <v>469</v>
      </c>
      <c r="B32" s="95" t="s">
        <v>470</v>
      </c>
      <c r="C32" s="96"/>
      <c r="D32" s="96"/>
      <c r="E32" s="97">
        <f t="shared" si="4"/>
        <v>8.1024999999999991</v>
      </c>
      <c r="F32" s="97">
        <v>2.67</v>
      </c>
      <c r="G32" s="97">
        <f t="shared" si="5"/>
        <v>4.798</v>
      </c>
      <c r="H32" s="97">
        <v>0.7</v>
      </c>
      <c r="I32" s="97">
        <v>0.15</v>
      </c>
      <c r="J32" s="97"/>
      <c r="K32" s="97"/>
      <c r="L32" s="97">
        <v>0.7</v>
      </c>
      <c r="M32" s="97">
        <f t="shared" si="6"/>
        <v>1.9739999999999998</v>
      </c>
      <c r="N32" s="97">
        <v>0.7</v>
      </c>
      <c r="O32" s="97">
        <f t="shared" ref="O32:O43" si="10">N32*(F32+I32+K32)</f>
        <v>1.9739999999999998</v>
      </c>
      <c r="P32" s="97"/>
      <c r="Q32" s="97"/>
      <c r="R32" s="97"/>
      <c r="S32" s="97"/>
      <c r="T32" s="97"/>
      <c r="U32" s="97"/>
      <c r="V32" s="97"/>
      <c r="W32" s="97"/>
      <c r="X32" s="97">
        <v>0.22500000000000001</v>
      </c>
      <c r="Y32" s="97">
        <f t="shared" si="8"/>
        <v>0.63449999999999995</v>
      </c>
      <c r="Z32" s="98">
        <f t="shared" si="9"/>
        <v>18.959849999999996</v>
      </c>
      <c r="AA32" s="88"/>
      <c r="AB32" s="89"/>
      <c r="AC32" s="89"/>
      <c r="AD32" s="89"/>
      <c r="AE32" s="89"/>
      <c r="AF32" s="89"/>
    </row>
    <row r="33" spans="1:32" s="90" customFormat="1" x14ac:dyDescent="0.45">
      <c r="A33" s="94" t="s">
        <v>471</v>
      </c>
      <c r="B33" s="95" t="s">
        <v>472</v>
      </c>
      <c r="C33" s="96"/>
      <c r="D33" s="96"/>
      <c r="E33" s="97">
        <f t="shared" si="4"/>
        <v>7.9377024999999994</v>
      </c>
      <c r="F33" s="97">
        <v>2.67</v>
      </c>
      <c r="G33" s="97">
        <f t="shared" si="5"/>
        <v>4.6248999999999993</v>
      </c>
      <c r="H33" s="97">
        <v>0.7</v>
      </c>
      <c r="I33" s="97"/>
      <c r="J33" s="97"/>
      <c r="K33" s="97"/>
      <c r="L33" s="97">
        <v>0.7</v>
      </c>
      <c r="M33" s="97">
        <f t="shared" si="6"/>
        <v>1.8689999999999998</v>
      </c>
      <c r="N33" s="97">
        <v>0.7</v>
      </c>
      <c r="O33" s="97">
        <f t="shared" si="10"/>
        <v>1.8689999999999998</v>
      </c>
      <c r="P33" s="97"/>
      <c r="Q33" s="97"/>
      <c r="R33" s="97"/>
      <c r="S33" s="97"/>
      <c r="T33" s="97"/>
      <c r="U33" s="97">
        <v>7.0000000000000007E-2</v>
      </c>
      <c r="V33" s="97">
        <f>U33*(F33+I33+K33)</f>
        <v>0.18690000000000001</v>
      </c>
      <c r="W33" s="97"/>
      <c r="X33" s="97">
        <v>0.22500000000000001</v>
      </c>
      <c r="Y33" s="97">
        <f t="shared" si="8"/>
        <v>0.64280250000000005</v>
      </c>
      <c r="Z33" s="98">
        <f t="shared" si="9"/>
        <v>18.574223849999999</v>
      </c>
      <c r="AA33" s="88"/>
      <c r="AB33" s="89"/>
      <c r="AC33" s="89"/>
      <c r="AD33" s="89"/>
      <c r="AE33" s="89"/>
      <c r="AF33" s="89"/>
    </row>
    <row r="34" spans="1:32" s="90" customFormat="1" x14ac:dyDescent="0.45">
      <c r="A34" s="94" t="s">
        <v>473</v>
      </c>
      <c r="B34" s="95" t="s">
        <v>474</v>
      </c>
      <c r="C34" s="96"/>
      <c r="D34" s="96"/>
      <c r="E34" s="97">
        <f t="shared" si="4"/>
        <v>6.1764899999999994</v>
      </c>
      <c r="F34" s="97">
        <v>2.34</v>
      </c>
      <c r="G34" s="97">
        <f t="shared" si="5"/>
        <v>3.2784</v>
      </c>
      <c r="H34" s="97">
        <v>0.7</v>
      </c>
      <c r="I34" s="97"/>
      <c r="J34" s="97"/>
      <c r="K34" s="97"/>
      <c r="L34" s="97">
        <v>0.7</v>
      </c>
      <c r="M34" s="97">
        <f t="shared" si="6"/>
        <v>1.6379999999999999</v>
      </c>
      <c r="N34" s="97"/>
      <c r="O34" s="97"/>
      <c r="P34" s="97">
        <v>0.5</v>
      </c>
      <c r="Q34" s="97"/>
      <c r="R34" s="97"/>
      <c r="S34" s="97"/>
      <c r="T34" s="97"/>
      <c r="U34" s="97">
        <v>0.06</v>
      </c>
      <c r="V34" s="97">
        <f>U34*(F34+I34+K34)</f>
        <v>0.1404</v>
      </c>
      <c r="W34" s="97">
        <v>0.3</v>
      </c>
      <c r="X34" s="97">
        <v>0.22500000000000001</v>
      </c>
      <c r="Y34" s="97">
        <f t="shared" si="8"/>
        <v>0.55808999999999997</v>
      </c>
      <c r="Z34" s="98">
        <f t="shared" si="9"/>
        <v>14.452986599999997</v>
      </c>
      <c r="AA34" s="88"/>
      <c r="AB34" s="89"/>
      <c r="AC34" s="89"/>
      <c r="AD34" s="89"/>
      <c r="AE34" s="89"/>
      <c r="AF34" s="89"/>
    </row>
    <row r="35" spans="1:32" s="90" customFormat="1" x14ac:dyDescent="0.45">
      <c r="A35" s="94" t="s">
        <v>475</v>
      </c>
      <c r="B35" s="95" t="s">
        <v>476</v>
      </c>
      <c r="C35" s="96"/>
      <c r="D35" s="96"/>
      <c r="E35" s="97">
        <f t="shared" si="4"/>
        <v>6.8424999999999994</v>
      </c>
      <c r="F35" s="97">
        <v>2.34</v>
      </c>
      <c r="G35" s="97">
        <f t="shared" si="5"/>
        <v>3.976</v>
      </c>
      <c r="H35" s="97">
        <v>0.7</v>
      </c>
      <c r="I35" s="97"/>
      <c r="J35" s="97"/>
      <c r="K35" s="97"/>
      <c r="L35" s="97">
        <v>0.7</v>
      </c>
      <c r="M35" s="97">
        <f t="shared" si="6"/>
        <v>1.6379999999999999</v>
      </c>
      <c r="N35" s="97">
        <v>0.7</v>
      </c>
      <c r="O35" s="97">
        <f t="shared" si="10"/>
        <v>1.6379999999999999</v>
      </c>
      <c r="P35" s="97"/>
      <c r="Q35" s="97"/>
      <c r="R35" s="97"/>
      <c r="S35" s="97"/>
      <c r="T35" s="97"/>
      <c r="U35" s="97"/>
      <c r="V35" s="97"/>
      <c r="W35" s="97"/>
      <c r="X35" s="97">
        <v>0.22500000000000001</v>
      </c>
      <c r="Y35" s="97">
        <f t="shared" si="8"/>
        <v>0.52649999999999997</v>
      </c>
      <c r="Z35" s="98">
        <f t="shared" si="9"/>
        <v>16.011449999999996</v>
      </c>
      <c r="AA35" s="88"/>
      <c r="AB35" s="89"/>
      <c r="AC35" s="89"/>
      <c r="AD35" s="89"/>
      <c r="AE35" s="89"/>
      <c r="AF35" s="89"/>
    </row>
    <row r="36" spans="1:32" s="90" customFormat="1" x14ac:dyDescent="0.45">
      <c r="A36" s="94" t="s">
        <v>477</v>
      </c>
      <c r="B36" s="95" t="s">
        <v>478</v>
      </c>
      <c r="C36" s="96"/>
      <c r="D36" s="96"/>
      <c r="E36" s="97">
        <f t="shared" si="4"/>
        <v>8.1024999999999991</v>
      </c>
      <c r="F36" s="97">
        <v>2.67</v>
      </c>
      <c r="G36" s="97">
        <f t="shared" si="5"/>
        <v>4.798</v>
      </c>
      <c r="H36" s="97">
        <v>0.7</v>
      </c>
      <c r="I36" s="97">
        <v>0.15</v>
      </c>
      <c r="J36" s="97"/>
      <c r="K36" s="97"/>
      <c r="L36" s="97">
        <v>0.7</v>
      </c>
      <c r="M36" s="97">
        <f t="shared" si="6"/>
        <v>1.9739999999999998</v>
      </c>
      <c r="N36" s="97">
        <v>0.7</v>
      </c>
      <c r="O36" s="97">
        <f t="shared" si="10"/>
        <v>1.9739999999999998</v>
      </c>
      <c r="P36" s="97"/>
      <c r="Q36" s="97"/>
      <c r="R36" s="97"/>
      <c r="S36" s="97"/>
      <c r="T36" s="97"/>
      <c r="U36" s="97"/>
      <c r="V36" s="97"/>
      <c r="W36" s="97"/>
      <c r="X36" s="97">
        <v>0.22500000000000001</v>
      </c>
      <c r="Y36" s="97">
        <f t="shared" si="8"/>
        <v>0.63449999999999995</v>
      </c>
      <c r="Z36" s="98">
        <f t="shared" si="9"/>
        <v>18.959849999999996</v>
      </c>
      <c r="AA36" s="88"/>
      <c r="AB36" s="89"/>
      <c r="AC36" s="89"/>
      <c r="AD36" s="89"/>
      <c r="AE36" s="89"/>
      <c r="AF36" s="89"/>
    </row>
    <row r="37" spans="1:32" s="90" customFormat="1" x14ac:dyDescent="0.45">
      <c r="A37" s="94" t="s">
        <v>479</v>
      </c>
      <c r="B37" s="95" t="s">
        <v>480</v>
      </c>
      <c r="C37" s="96"/>
      <c r="D37" s="96"/>
      <c r="E37" s="97">
        <f t="shared" si="4"/>
        <v>6.8424999999999994</v>
      </c>
      <c r="F37" s="97">
        <v>2.34</v>
      </c>
      <c r="G37" s="97">
        <f t="shared" si="5"/>
        <v>3.976</v>
      </c>
      <c r="H37" s="97">
        <v>0.7</v>
      </c>
      <c r="I37" s="97"/>
      <c r="J37" s="97"/>
      <c r="K37" s="97"/>
      <c r="L37" s="97">
        <v>0.7</v>
      </c>
      <c r="M37" s="97">
        <f t="shared" si="6"/>
        <v>1.6379999999999999</v>
      </c>
      <c r="N37" s="97">
        <v>0.7</v>
      </c>
      <c r="O37" s="97">
        <f t="shared" si="10"/>
        <v>1.6379999999999999</v>
      </c>
      <c r="P37" s="97"/>
      <c r="Q37" s="97"/>
      <c r="R37" s="97"/>
      <c r="S37" s="97"/>
      <c r="T37" s="97"/>
      <c r="U37" s="97"/>
      <c r="V37" s="97"/>
      <c r="W37" s="97"/>
      <c r="X37" s="97">
        <v>0.22500000000000001</v>
      </c>
      <c r="Y37" s="97">
        <f t="shared" si="8"/>
        <v>0.52649999999999997</v>
      </c>
      <c r="Z37" s="98">
        <f t="shared" si="9"/>
        <v>16.011449999999996</v>
      </c>
      <c r="AA37" s="88"/>
      <c r="AB37" s="89"/>
      <c r="AC37" s="89"/>
      <c r="AD37" s="89"/>
      <c r="AE37" s="89"/>
      <c r="AF37" s="89"/>
    </row>
    <row r="38" spans="1:32" s="90" customFormat="1" x14ac:dyDescent="0.45">
      <c r="A38" s="94" t="s">
        <v>481</v>
      </c>
      <c r="B38" s="95" t="s">
        <v>482</v>
      </c>
      <c r="C38" s="96"/>
      <c r="D38" s="96"/>
      <c r="E38" s="97">
        <f t="shared" si="4"/>
        <v>7.2362499999999992</v>
      </c>
      <c r="F38" s="97">
        <v>2.34</v>
      </c>
      <c r="G38" s="97">
        <f t="shared" si="5"/>
        <v>4.3359999999999994</v>
      </c>
      <c r="H38" s="97">
        <v>0.7</v>
      </c>
      <c r="I38" s="97">
        <v>0.15</v>
      </c>
      <c r="J38" s="97"/>
      <c r="K38" s="97"/>
      <c r="L38" s="97">
        <v>0.7</v>
      </c>
      <c r="M38" s="97">
        <f t="shared" si="6"/>
        <v>1.7429999999999997</v>
      </c>
      <c r="N38" s="97">
        <v>0.7</v>
      </c>
      <c r="O38" s="97">
        <f t="shared" si="10"/>
        <v>1.7429999999999997</v>
      </c>
      <c r="P38" s="97"/>
      <c r="Q38" s="97"/>
      <c r="R38" s="97"/>
      <c r="S38" s="97"/>
      <c r="T38" s="97"/>
      <c r="U38" s="97"/>
      <c r="V38" s="97"/>
      <c r="W38" s="97"/>
      <c r="X38" s="97">
        <v>0.22500000000000001</v>
      </c>
      <c r="Y38" s="97">
        <f t="shared" si="8"/>
        <v>0.56024999999999991</v>
      </c>
      <c r="Z38" s="98">
        <f t="shared" si="9"/>
        <v>16.932824999999998</v>
      </c>
      <c r="AA38" s="88"/>
      <c r="AB38" s="89"/>
      <c r="AC38" s="89"/>
      <c r="AD38" s="89"/>
      <c r="AE38" s="89"/>
      <c r="AF38" s="89"/>
    </row>
    <row r="39" spans="1:32" s="90" customFormat="1" ht="16.25" customHeight="1" x14ac:dyDescent="0.45">
      <c r="A39" s="94" t="s">
        <v>483</v>
      </c>
      <c r="B39" s="95" t="s">
        <v>484</v>
      </c>
      <c r="C39" s="96"/>
      <c r="D39" s="96"/>
      <c r="E39" s="97">
        <f t="shared" si="4"/>
        <v>6.8424999999999994</v>
      </c>
      <c r="F39" s="97">
        <v>2.34</v>
      </c>
      <c r="G39" s="97">
        <f t="shared" si="5"/>
        <v>3.976</v>
      </c>
      <c r="H39" s="97">
        <v>0.7</v>
      </c>
      <c r="I39" s="97"/>
      <c r="J39" s="97"/>
      <c r="K39" s="97"/>
      <c r="L39" s="97">
        <v>0.7</v>
      </c>
      <c r="M39" s="97">
        <f t="shared" si="6"/>
        <v>1.6379999999999999</v>
      </c>
      <c r="N39" s="97">
        <v>0.7</v>
      </c>
      <c r="O39" s="97">
        <f t="shared" si="10"/>
        <v>1.6379999999999999</v>
      </c>
      <c r="P39" s="97"/>
      <c r="Q39" s="97"/>
      <c r="R39" s="97"/>
      <c r="S39" s="97"/>
      <c r="T39" s="97"/>
      <c r="U39" s="97"/>
      <c r="V39" s="97"/>
      <c r="W39" s="97"/>
      <c r="X39" s="97">
        <v>0.22500000000000001</v>
      </c>
      <c r="Y39" s="97">
        <f t="shared" si="8"/>
        <v>0.52649999999999997</v>
      </c>
      <c r="Z39" s="98">
        <f t="shared" si="9"/>
        <v>16.011449999999996</v>
      </c>
      <c r="AA39" s="88" t="s">
        <v>485</v>
      </c>
      <c r="AB39" s="89"/>
      <c r="AC39" s="89"/>
      <c r="AD39" s="89"/>
      <c r="AE39" s="89"/>
      <c r="AF39" s="89"/>
    </row>
    <row r="40" spans="1:32" s="90" customFormat="1" x14ac:dyDescent="0.45">
      <c r="A40" s="94" t="s">
        <v>486</v>
      </c>
      <c r="B40" s="95" t="s">
        <v>487</v>
      </c>
      <c r="C40" s="96"/>
      <c r="D40" s="96"/>
      <c r="E40" s="97">
        <f t="shared" si="4"/>
        <v>6.8424999999999994</v>
      </c>
      <c r="F40" s="97">
        <v>2.34</v>
      </c>
      <c r="G40" s="97">
        <f t="shared" si="5"/>
        <v>3.976</v>
      </c>
      <c r="H40" s="97">
        <v>0.7</v>
      </c>
      <c r="I40" s="97"/>
      <c r="J40" s="97"/>
      <c r="K40" s="97"/>
      <c r="L40" s="97">
        <v>0.7</v>
      </c>
      <c r="M40" s="97">
        <f t="shared" si="6"/>
        <v>1.6379999999999999</v>
      </c>
      <c r="N40" s="97">
        <v>0.7</v>
      </c>
      <c r="O40" s="97">
        <f t="shared" si="10"/>
        <v>1.6379999999999999</v>
      </c>
      <c r="P40" s="97"/>
      <c r="Q40" s="97"/>
      <c r="R40" s="97"/>
      <c r="S40" s="97"/>
      <c r="T40" s="97"/>
      <c r="U40" s="97"/>
      <c r="V40" s="97"/>
      <c r="W40" s="97"/>
      <c r="X40" s="97">
        <v>0.22500000000000001</v>
      </c>
      <c r="Y40" s="97">
        <f t="shared" si="8"/>
        <v>0.52649999999999997</v>
      </c>
      <c r="Z40" s="98">
        <f t="shared" si="9"/>
        <v>16.011449999999996</v>
      </c>
      <c r="AA40" s="88"/>
      <c r="AB40" s="89"/>
      <c r="AC40" s="89"/>
      <c r="AD40" s="89"/>
      <c r="AE40" s="89"/>
      <c r="AF40" s="89"/>
    </row>
    <row r="41" spans="1:32" s="90" customFormat="1" ht="14.35" customHeight="1" x14ac:dyDescent="0.45">
      <c r="A41" s="94" t="s">
        <v>488</v>
      </c>
      <c r="B41" s="95" t="s">
        <v>489</v>
      </c>
      <c r="C41" s="96"/>
      <c r="D41" s="96"/>
      <c r="E41" s="97">
        <f t="shared" si="4"/>
        <v>6.8424999999999994</v>
      </c>
      <c r="F41" s="97">
        <v>2.34</v>
      </c>
      <c r="G41" s="97">
        <f t="shared" si="5"/>
        <v>3.976</v>
      </c>
      <c r="H41" s="97">
        <v>0.7</v>
      </c>
      <c r="I41" s="97"/>
      <c r="J41" s="97"/>
      <c r="K41" s="97"/>
      <c r="L41" s="97">
        <v>0.7</v>
      </c>
      <c r="M41" s="97">
        <f t="shared" si="6"/>
        <v>1.6379999999999999</v>
      </c>
      <c r="N41" s="97">
        <v>0.7</v>
      </c>
      <c r="O41" s="97">
        <f t="shared" si="10"/>
        <v>1.6379999999999999</v>
      </c>
      <c r="P41" s="97"/>
      <c r="Q41" s="97"/>
      <c r="R41" s="97"/>
      <c r="S41" s="97"/>
      <c r="T41" s="97"/>
      <c r="U41" s="97"/>
      <c r="V41" s="97"/>
      <c r="W41" s="97"/>
      <c r="X41" s="97">
        <v>0.22500000000000001</v>
      </c>
      <c r="Y41" s="97">
        <f t="shared" si="8"/>
        <v>0.52649999999999997</v>
      </c>
      <c r="Z41" s="98">
        <f t="shared" si="9"/>
        <v>16.011449999999996</v>
      </c>
      <c r="AA41" s="88" t="s">
        <v>485</v>
      </c>
      <c r="AB41" s="89"/>
      <c r="AC41" s="89"/>
      <c r="AD41" s="89"/>
      <c r="AE41" s="89"/>
      <c r="AF41" s="89"/>
    </row>
    <row r="42" spans="1:32" s="90" customFormat="1" x14ac:dyDescent="0.45">
      <c r="A42" s="94" t="s">
        <v>490</v>
      </c>
      <c r="B42" s="95" t="s">
        <v>491</v>
      </c>
      <c r="C42" s="96"/>
      <c r="D42" s="96"/>
      <c r="E42" s="97">
        <f t="shared" si="4"/>
        <v>6.8424999999999994</v>
      </c>
      <c r="F42" s="97">
        <v>2.34</v>
      </c>
      <c r="G42" s="97">
        <f t="shared" si="5"/>
        <v>3.976</v>
      </c>
      <c r="H42" s="97">
        <v>0.7</v>
      </c>
      <c r="I42" s="97"/>
      <c r="J42" s="97"/>
      <c r="K42" s="97"/>
      <c r="L42" s="97">
        <v>0.7</v>
      </c>
      <c r="M42" s="97">
        <f t="shared" si="6"/>
        <v>1.6379999999999999</v>
      </c>
      <c r="N42" s="97">
        <v>0.7</v>
      </c>
      <c r="O42" s="97">
        <f t="shared" si="10"/>
        <v>1.6379999999999999</v>
      </c>
      <c r="P42" s="97"/>
      <c r="Q42" s="97"/>
      <c r="R42" s="97"/>
      <c r="S42" s="97"/>
      <c r="T42" s="97"/>
      <c r="U42" s="97"/>
      <c r="V42" s="97"/>
      <c r="W42" s="97"/>
      <c r="X42" s="97">
        <v>0.22500000000000001</v>
      </c>
      <c r="Y42" s="97">
        <f t="shared" si="8"/>
        <v>0.52649999999999997</v>
      </c>
      <c r="Z42" s="98">
        <f t="shared" si="9"/>
        <v>16.011449999999996</v>
      </c>
      <c r="AA42" s="88"/>
      <c r="AB42" s="89"/>
      <c r="AC42" s="89"/>
      <c r="AD42" s="89"/>
      <c r="AE42" s="89"/>
      <c r="AF42" s="89"/>
    </row>
    <row r="43" spans="1:32" s="90" customFormat="1" x14ac:dyDescent="0.45">
      <c r="A43" s="94" t="s">
        <v>492</v>
      </c>
      <c r="B43" s="95" t="s">
        <v>493</v>
      </c>
      <c r="C43" s="96"/>
      <c r="D43" s="96"/>
      <c r="E43" s="97">
        <f t="shared" si="4"/>
        <v>6.8424999999999994</v>
      </c>
      <c r="F43" s="97">
        <v>2.34</v>
      </c>
      <c r="G43" s="97">
        <f t="shared" si="5"/>
        <v>3.976</v>
      </c>
      <c r="H43" s="97">
        <v>0.7</v>
      </c>
      <c r="I43" s="97"/>
      <c r="J43" s="97"/>
      <c r="K43" s="97"/>
      <c r="L43" s="97">
        <v>0.7</v>
      </c>
      <c r="M43" s="97">
        <f t="shared" si="6"/>
        <v>1.6379999999999999</v>
      </c>
      <c r="N43" s="97">
        <v>0.7</v>
      </c>
      <c r="O43" s="97">
        <f t="shared" si="10"/>
        <v>1.6379999999999999</v>
      </c>
      <c r="P43" s="97"/>
      <c r="Q43" s="97"/>
      <c r="R43" s="97"/>
      <c r="S43" s="97"/>
      <c r="T43" s="97"/>
      <c r="U43" s="97"/>
      <c r="V43" s="97"/>
      <c r="W43" s="97"/>
      <c r="X43" s="97">
        <v>0.22500000000000001</v>
      </c>
      <c r="Y43" s="97">
        <f t="shared" si="8"/>
        <v>0.52649999999999997</v>
      </c>
      <c r="Z43" s="98">
        <f t="shared" si="9"/>
        <v>16.011449999999996</v>
      </c>
      <c r="AA43" s="88"/>
      <c r="AB43" s="89"/>
      <c r="AC43" s="89"/>
      <c r="AD43" s="89"/>
      <c r="AE43" s="89"/>
      <c r="AF43" s="89"/>
    </row>
    <row r="44" spans="1:32" s="90" customFormat="1" x14ac:dyDescent="0.45">
      <c r="A44" s="94" t="s">
        <v>494</v>
      </c>
      <c r="B44" s="95" t="s">
        <v>495</v>
      </c>
      <c r="C44" s="96"/>
      <c r="D44" s="96"/>
      <c r="E44" s="97">
        <f t="shared" si="4"/>
        <v>13.751537750000001</v>
      </c>
      <c r="F44" s="97">
        <v>4.9800000000000004</v>
      </c>
      <c r="G44" s="97">
        <f t="shared" si="5"/>
        <v>7.2302900000000001</v>
      </c>
      <c r="H44" s="97">
        <v>0.7</v>
      </c>
      <c r="I44" s="97"/>
      <c r="J44" s="97">
        <v>0.05</v>
      </c>
      <c r="K44" s="97">
        <f>J44*(F44+I44)</f>
        <v>0.24900000000000003</v>
      </c>
      <c r="L44" s="97">
        <v>0.7</v>
      </c>
      <c r="M44" s="97">
        <f t="shared" si="6"/>
        <v>3.6602999999999999</v>
      </c>
      <c r="N44" s="97"/>
      <c r="O44" s="97"/>
      <c r="P44" s="97">
        <v>1</v>
      </c>
      <c r="Q44" s="97"/>
      <c r="R44" s="97"/>
      <c r="S44" s="97"/>
      <c r="T44" s="97"/>
      <c r="U44" s="97">
        <v>0.31</v>
      </c>
      <c r="V44" s="97">
        <f t="shared" ref="V44:V51" si="11">U44*(F44+I44+K44)</f>
        <v>1.6209899999999999</v>
      </c>
      <c r="W44" s="97"/>
      <c r="X44" s="97">
        <v>0.22500000000000001</v>
      </c>
      <c r="Y44" s="97">
        <f t="shared" si="8"/>
        <v>1.5412477500000001</v>
      </c>
      <c r="Z44" s="98">
        <f t="shared" si="9"/>
        <v>32.178598334999997</v>
      </c>
      <c r="AA44" s="88"/>
      <c r="AB44" s="89"/>
      <c r="AC44" s="89"/>
      <c r="AD44" s="89"/>
      <c r="AE44" s="89"/>
      <c r="AF44" s="89"/>
    </row>
    <row r="45" spans="1:32" s="90" customFormat="1" x14ac:dyDescent="0.45">
      <c r="A45" s="94" t="s">
        <v>496</v>
      </c>
      <c r="B45" s="95" t="s">
        <v>497</v>
      </c>
      <c r="C45" s="96"/>
      <c r="D45" s="96"/>
      <c r="E45" s="97">
        <f t="shared" si="4"/>
        <v>10.123484999999999</v>
      </c>
      <c r="F45" s="97">
        <v>3.86</v>
      </c>
      <c r="G45" s="97">
        <f t="shared" si="5"/>
        <v>5.2126000000000001</v>
      </c>
      <c r="H45" s="97">
        <v>0.7</v>
      </c>
      <c r="I45" s="97"/>
      <c r="J45" s="97"/>
      <c r="K45" s="97"/>
      <c r="L45" s="97">
        <v>0.7</v>
      </c>
      <c r="M45" s="97">
        <f t="shared" si="6"/>
        <v>2.702</v>
      </c>
      <c r="N45" s="97"/>
      <c r="O45" s="97"/>
      <c r="P45" s="97">
        <v>1</v>
      </c>
      <c r="Q45" s="97"/>
      <c r="R45" s="97"/>
      <c r="S45" s="97"/>
      <c r="T45" s="97"/>
      <c r="U45" s="97">
        <v>0.21</v>
      </c>
      <c r="V45" s="97">
        <f t="shared" si="11"/>
        <v>0.81059999999999999</v>
      </c>
      <c r="W45" s="97"/>
      <c r="X45" s="97">
        <v>0.22500000000000001</v>
      </c>
      <c r="Y45" s="97">
        <f t="shared" si="8"/>
        <v>1.0508850000000001</v>
      </c>
      <c r="Z45" s="98">
        <f t="shared" si="9"/>
        <v>23.688954899999995</v>
      </c>
      <c r="AA45" s="88"/>
      <c r="AB45" s="89"/>
      <c r="AC45" s="89"/>
      <c r="AD45" s="89"/>
      <c r="AE45" s="89"/>
      <c r="AF45" s="89"/>
    </row>
    <row r="46" spans="1:32" s="90" customFormat="1" x14ac:dyDescent="0.45">
      <c r="A46" s="94" t="s">
        <v>498</v>
      </c>
      <c r="B46" s="95" t="s">
        <v>499</v>
      </c>
      <c r="C46" s="96"/>
      <c r="D46" s="96"/>
      <c r="E46" s="97">
        <f t="shared" si="4"/>
        <v>10.762550000000001</v>
      </c>
      <c r="F46" s="97">
        <v>4</v>
      </c>
      <c r="G46" s="97">
        <f t="shared" si="5"/>
        <v>5.6379999999999999</v>
      </c>
      <c r="H46" s="97">
        <v>0.7</v>
      </c>
      <c r="I46" s="97">
        <v>0.2</v>
      </c>
      <c r="J46" s="97"/>
      <c r="K46" s="97"/>
      <c r="L46" s="97">
        <v>0.7</v>
      </c>
      <c r="M46" s="97">
        <f t="shared" si="6"/>
        <v>2.94</v>
      </c>
      <c r="N46" s="97"/>
      <c r="O46" s="97"/>
      <c r="P46" s="97">
        <v>1</v>
      </c>
      <c r="Q46" s="97"/>
      <c r="R46" s="97"/>
      <c r="S46" s="97"/>
      <c r="T46" s="97"/>
      <c r="U46" s="97">
        <v>0.19</v>
      </c>
      <c r="V46" s="97">
        <f t="shared" si="11"/>
        <v>0.79800000000000004</v>
      </c>
      <c r="W46" s="97"/>
      <c r="X46" s="97">
        <v>0.22500000000000001</v>
      </c>
      <c r="Y46" s="97">
        <f t="shared" si="8"/>
        <v>1.1245500000000002</v>
      </c>
      <c r="Z46" s="98">
        <f t="shared" si="9"/>
        <v>25.184367000000002</v>
      </c>
      <c r="AA46" s="88"/>
      <c r="AB46" s="89"/>
      <c r="AC46" s="89"/>
      <c r="AD46" s="89"/>
      <c r="AE46" s="89"/>
      <c r="AF46" s="89"/>
    </row>
    <row r="47" spans="1:32" s="90" customFormat="1" x14ac:dyDescent="0.45">
      <c r="A47" s="94" t="s">
        <v>500</v>
      </c>
      <c r="B47" s="95" t="s">
        <v>501</v>
      </c>
      <c r="C47" s="96"/>
      <c r="D47" s="96"/>
      <c r="E47" s="97">
        <f t="shared" si="4"/>
        <v>9.5973649999999999</v>
      </c>
      <c r="F47" s="97">
        <v>3.66</v>
      </c>
      <c r="G47" s="97">
        <f t="shared" si="5"/>
        <v>4.9573999999999998</v>
      </c>
      <c r="H47" s="97">
        <v>0.7</v>
      </c>
      <c r="I47" s="97"/>
      <c r="J47" s="97"/>
      <c r="K47" s="97"/>
      <c r="L47" s="97">
        <v>0.7</v>
      </c>
      <c r="M47" s="97">
        <f t="shared" si="6"/>
        <v>2.5619999999999998</v>
      </c>
      <c r="N47" s="97"/>
      <c r="O47" s="97"/>
      <c r="P47" s="97">
        <v>1</v>
      </c>
      <c r="Q47" s="97"/>
      <c r="R47" s="97"/>
      <c r="S47" s="97"/>
      <c r="T47" s="97"/>
      <c r="U47" s="97">
        <v>0.19</v>
      </c>
      <c r="V47" s="97">
        <f t="shared" si="11"/>
        <v>0.69540000000000002</v>
      </c>
      <c r="W47" s="97"/>
      <c r="X47" s="97">
        <v>0.22500000000000001</v>
      </c>
      <c r="Y47" s="97">
        <f t="shared" si="8"/>
        <v>0.97996500000000009</v>
      </c>
      <c r="Z47" s="98">
        <f t="shared" si="9"/>
        <v>22.457834099999999</v>
      </c>
      <c r="AA47" s="88"/>
      <c r="AB47" s="89"/>
      <c r="AC47" s="89"/>
      <c r="AD47" s="89"/>
      <c r="AE47" s="89"/>
      <c r="AF47" s="89"/>
    </row>
    <row r="48" spans="1:32" s="90" customFormat="1" x14ac:dyDescent="0.45">
      <c r="A48" s="94" t="s">
        <v>502</v>
      </c>
      <c r="B48" s="95" t="s">
        <v>503</v>
      </c>
      <c r="C48" s="96"/>
      <c r="D48" s="96"/>
      <c r="E48" s="97">
        <f t="shared" si="4"/>
        <v>11.302407499999997</v>
      </c>
      <c r="F48" s="97">
        <v>4.0599999999999996</v>
      </c>
      <c r="G48" s="97">
        <f t="shared" si="5"/>
        <v>6.0320199999999993</v>
      </c>
      <c r="H48" s="97">
        <v>0.7</v>
      </c>
      <c r="I48" s="97"/>
      <c r="J48" s="97">
        <v>0.06</v>
      </c>
      <c r="K48" s="97">
        <f>J48*(F48+I48)</f>
        <v>0.24359999999999996</v>
      </c>
      <c r="L48" s="97">
        <v>0.7</v>
      </c>
      <c r="M48" s="97">
        <f t="shared" si="6"/>
        <v>3.0125199999999994</v>
      </c>
      <c r="N48" s="97"/>
      <c r="O48" s="97"/>
      <c r="P48" s="97">
        <v>1</v>
      </c>
      <c r="Q48" s="97"/>
      <c r="R48" s="97"/>
      <c r="S48" s="97"/>
      <c r="T48" s="97"/>
      <c r="U48" s="97">
        <v>0.25</v>
      </c>
      <c r="V48" s="97">
        <f t="shared" si="11"/>
        <v>1.0758999999999999</v>
      </c>
      <c r="W48" s="97"/>
      <c r="X48" s="97">
        <v>0.22500000000000001</v>
      </c>
      <c r="Y48" s="97">
        <f t="shared" si="8"/>
        <v>1.2103874999999999</v>
      </c>
      <c r="Z48" s="98">
        <f t="shared" si="9"/>
        <v>26.447633549999992</v>
      </c>
      <c r="AA48" s="88"/>
      <c r="AB48" s="89"/>
      <c r="AC48" s="89"/>
      <c r="AD48" s="89"/>
      <c r="AE48" s="89"/>
      <c r="AF48" s="89"/>
    </row>
    <row r="49" spans="1:32" s="90" customFormat="1" x14ac:dyDescent="0.45">
      <c r="A49" s="94" t="s">
        <v>504</v>
      </c>
      <c r="B49" s="95" t="s">
        <v>505</v>
      </c>
      <c r="C49" s="96"/>
      <c r="D49" s="96"/>
      <c r="E49" s="97">
        <f t="shared" si="4"/>
        <v>12.180159199999999</v>
      </c>
      <c r="F49" s="97">
        <v>4.0599999999999996</v>
      </c>
      <c r="G49" s="97">
        <f t="shared" si="5"/>
        <v>6.7798719999999992</v>
      </c>
      <c r="H49" s="97">
        <v>0.7</v>
      </c>
      <c r="I49" s="97"/>
      <c r="J49" s="97">
        <v>0.12</v>
      </c>
      <c r="K49" s="97">
        <f>J49*(F49+I49)</f>
        <v>0.48719999999999991</v>
      </c>
      <c r="L49" s="97">
        <v>0.7</v>
      </c>
      <c r="M49" s="97">
        <f t="shared" si="6"/>
        <v>3.1830399999999992</v>
      </c>
      <c r="N49" s="97"/>
      <c r="O49" s="97"/>
      <c r="P49" s="97">
        <v>1</v>
      </c>
      <c r="Q49" s="97"/>
      <c r="R49" s="97"/>
      <c r="S49" s="97"/>
      <c r="T49" s="97"/>
      <c r="U49" s="97">
        <v>0.31</v>
      </c>
      <c r="V49" s="97">
        <f t="shared" si="11"/>
        <v>1.4096319999999998</v>
      </c>
      <c r="W49" s="97"/>
      <c r="X49" s="97">
        <v>0.22500000000000001</v>
      </c>
      <c r="Y49" s="97">
        <f t="shared" si="8"/>
        <v>1.3402871999999997</v>
      </c>
      <c r="Z49" s="98">
        <f t="shared" si="9"/>
        <v>28.501572527999993</v>
      </c>
      <c r="AA49" s="88"/>
      <c r="AB49" s="89"/>
      <c r="AC49" s="89"/>
      <c r="AD49" s="89"/>
      <c r="AE49" s="89"/>
      <c r="AF49" s="89"/>
    </row>
    <row r="50" spans="1:32" s="90" customFormat="1" x14ac:dyDescent="0.45">
      <c r="A50" s="94" t="s">
        <v>506</v>
      </c>
      <c r="B50" s="95" t="s">
        <v>507</v>
      </c>
      <c r="C50" s="96"/>
      <c r="D50" s="96"/>
      <c r="E50" s="97">
        <f t="shared" si="4"/>
        <v>11.355126599999998</v>
      </c>
      <c r="F50" s="97">
        <v>4.0599999999999996</v>
      </c>
      <c r="G50" s="97">
        <f t="shared" si="5"/>
        <v>6.0750559999999991</v>
      </c>
      <c r="H50" s="97">
        <v>0.7</v>
      </c>
      <c r="I50" s="97"/>
      <c r="J50" s="97">
        <v>0.06</v>
      </c>
      <c r="K50" s="97">
        <f>J50*(F50+I50)</f>
        <v>0.24359999999999996</v>
      </c>
      <c r="L50" s="97">
        <v>0.7</v>
      </c>
      <c r="M50" s="97">
        <f t="shared" si="6"/>
        <v>3.0125199999999994</v>
      </c>
      <c r="N50" s="97"/>
      <c r="O50" s="97"/>
      <c r="P50" s="97">
        <v>1</v>
      </c>
      <c r="Q50" s="97"/>
      <c r="R50" s="97"/>
      <c r="S50" s="97"/>
      <c r="T50" s="97"/>
      <c r="U50" s="97">
        <v>0.26</v>
      </c>
      <c r="V50" s="97">
        <f t="shared" si="11"/>
        <v>1.1189359999999999</v>
      </c>
      <c r="W50" s="97"/>
      <c r="X50" s="97">
        <v>0.22500000000000001</v>
      </c>
      <c r="Y50" s="97">
        <f t="shared" si="8"/>
        <v>1.2200705999999999</v>
      </c>
      <c r="Z50" s="98">
        <f t="shared" si="9"/>
        <v>26.570996243999996</v>
      </c>
      <c r="AA50" s="88"/>
      <c r="AB50" s="89"/>
      <c r="AC50" s="89"/>
      <c r="AD50" s="89"/>
      <c r="AE50" s="89"/>
      <c r="AF50" s="89"/>
    </row>
    <row r="51" spans="1:32" s="90" customFormat="1" x14ac:dyDescent="0.45">
      <c r="A51" s="94" t="s">
        <v>508</v>
      </c>
      <c r="B51" s="95" t="s">
        <v>509</v>
      </c>
      <c r="C51" s="96"/>
      <c r="D51" s="96"/>
      <c r="E51" s="97">
        <f t="shared" si="4"/>
        <v>10.445645000000001</v>
      </c>
      <c r="F51" s="97">
        <v>4.34</v>
      </c>
      <c r="G51" s="97">
        <f t="shared" si="5"/>
        <v>5.0022000000000002</v>
      </c>
      <c r="H51" s="97">
        <v>0.7</v>
      </c>
      <c r="I51" s="97"/>
      <c r="J51" s="97"/>
      <c r="K51" s="97"/>
      <c r="L51" s="97">
        <v>0.7</v>
      </c>
      <c r="M51" s="97">
        <f t="shared" si="6"/>
        <v>3.0379999999999998</v>
      </c>
      <c r="N51" s="97"/>
      <c r="O51" s="97"/>
      <c r="P51" s="97">
        <v>0.7</v>
      </c>
      <c r="Q51" s="97"/>
      <c r="R51" s="97"/>
      <c r="S51" s="97"/>
      <c r="T51" s="97"/>
      <c r="U51" s="97">
        <v>0.13</v>
      </c>
      <c r="V51" s="97">
        <f t="shared" si="11"/>
        <v>0.56420000000000003</v>
      </c>
      <c r="W51" s="97"/>
      <c r="X51" s="97">
        <v>0.22500000000000001</v>
      </c>
      <c r="Y51" s="97">
        <f t="shared" si="8"/>
        <v>1.103445</v>
      </c>
      <c r="Z51" s="98">
        <f t="shared" si="9"/>
        <v>24.4428093</v>
      </c>
      <c r="AA51" s="88"/>
      <c r="AB51" s="89"/>
      <c r="AC51" s="89"/>
      <c r="AD51" s="89"/>
      <c r="AE51" s="89"/>
      <c r="AF51" s="89"/>
    </row>
    <row r="52" spans="1:32" s="90" customFormat="1" x14ac:dyDescent="0.45">
      <c r="A52" s="94" t="s">
        <v>510</v>
      </c>
      <c r="B52" s="95" t="s">
        <v>511</v>
      </c>
      <c r="C52" s="96"/>
      <c r="D52" s="96"/>
      <c r="E52" s="97">
        <f t="shared" si="4"/>
        <v>6.8424999999999994</v>
      </c>
      <c r="F52" s="97">
        <v>2.34</v>
      </c>
      <c r="G52" s="97">
        <f t="shared" si="5"/>
        <v>3.976</v>
      </c>
      <c r="H52" s="97">
        <v>0.7</v>
      </c>
      <c r="I52" s="97"/>
      <c r="J52" s="97"/>
      <c r="K52" s="97"/>
      <c r="L52" s="97">
        <v>0.7</v>
      </c>
      <c r="M52" s="97">
        <f t="shared" si="6"/>
        <v>1.6379999999999999</v>
      </c>
      <c r="N52" s="97">
        <v>0.7</v>
      </c>
      <c r="O52" s="97">
        <f>N52*(F52+I52+K52)</f>
        <v>1.6379999999999999</v>
      </c>
      <c r="P52" s="97"/>
      <c r="Q52" s="97"/>
      <c r="R52" s="97"/>
      <c r="S52" s="97"/>
      <c r="T52" s="97"/>
      <c r="U52" s="97"/>
      <c r="V52" s="97"/>
      <c r="W52" s="97"/>
      <c r="X52" s="97">
        <v>0.22500000000000001</v>
      </c>
      <c r="Y52" s="97">
        <f t="shared" si="8"/>
        <v>0.52649999999999997</v>
      </c>
      <c r="Z52" s="98">
        <f t="shared" si="9"/>
        <v>16.011449999999996</v>
      </c>
      <c r="AA52" s="88"/>
      <c r="AB52" s="89"/>
      <c r="AC52" s="89"/>
      <c r="AD52" s="89"/>
      <c r="AE52" s="89"/>
      <c r="AF52" s="89"/>
    </row>
    <row r="53" spans="1:32" s="90" customFormat="1" x14ac:dyDescent="0.45">
      <c r="A53" s="94" t="s">
        <v>512</v>
      </c>
      <c r="B53" s="95" t="s">
        <v>513</v>
      </c>
      <c r="C53" s="96"/>
      <c r="D53" s="96"/>
      <c r="E53" s="97">
        <f t="shared" si="4"/>
        <v>6.8424999999999994</v>
      </c>
      <c r="F53" s="97">
        <v>2.34</v>
      </c>
      <c r="G53" s="97">
        <f t="shared" si="5"/>
        <v>3.976</v>
      </c>
      <c r="H53" s="97">
        <v>0.7</v>
      </c>
      <c r="I53" s="97"/>
      <c r="J53" s="97"/>
      <c r="K53" s="97"/>
      <c r="L53" s="97">
        <v>0.7</v>
      </c>
      <c r="M53" s="97">
        <f t="shared" si="6"/>
        <v>1.6379999999999999</v>
      </c>
      <c r="N53" s="97">
        <v>0.7</v>
      </c>
      <c r="O53" s="97">
        <f>N53*(F53+I53+K53)</f>
        <v>1.6379999999999999</v>
      </c>
      <c r="P53" s="97"/>
      <c r="Q53" s="97"/>
      <c r="R53" s="97"/>
      <c r="S53" s="97"/>
      <c r="T53" s="97"/>
      <c r="U53" s="97"/>
      <c r="V53" s="97"/>
      <c r="W53" s="97"/>
      <c r="X53" s="97">
        <v>0.22500000000000001</v>
      </c>
      <c r="Y53" s="97">
        <f t="shared" si="8"/>
        <v>0.52649999999999997</v>
      </c>
      <c r="Z53" s="98">
        <f t="shared" si="9"/>
        <v>16.011449999999996</v>
      </c>
      <c r="AA53" s="88"/>
      <c r="AB53" s="89"/>
      <c r="AC53" s="89"/>
      <c r="AD53" s="89"/>
      <c r="AE53" s="89"/>
      <c r="AF53" s="89"/>
    </row>
    <row r="54" spans="1:32" s="90" customFormat="1" x14ac:dyDescent="0.45">
      <c r="A54" s="94" t="s">
        <v>514</v>
      </c>
      <c r="B54" s="95" t="s">
        <v>515</v>
      </c>
      <c r="C54" s="96"/>
      <c r="D54" s="96"/>
      <c r="E54" s="97">
        <f t="shared" si="4"/>
        <v>6.8424999999999994</v>
      </c>
      <c r="F54" s="97">
        <v>2.34</v>
      </c>
      <c r="G54" s="97">
        <f t="shared" si="5"/>
        <v>3.976</v>
      </c>
      <c r="H54" s="97">
        <v>0.7</v>
      </c>
      <c r="I54" s="97"/>
      <c r="J54" s="97"/>
      <c r="K54" s="97"/>
      <c r="L54" s="97">
        <v>0.7</v>
      </c>
      <c r="M54" s="97">
        <f t="shared" si="6"/>
        <v>1.6379999999999999</v>
      </c>
      <c r="N54" s="97">
        <v>0.7</v>
      </c>
      <c r="O54" s="97">
        <f>N54*(F54+I54+K54)</f>
        <v>1.6379999999999999</v>
      </c>
      <c r="P54" s="97"/>
      <c r="Q54" s="97"/>
      <c r="R54" s="97"/>
      <c r="S54" s="97"/>
      <c r="T54" s="97"/>
      <c r="U54" s="97"/>
      <c r="V54" s="97"/>
      <c r="W54" s="97"/>
      <c r="X54" s="97">
        <v>0.22500000000000001</v>
      </c>
      <c r="Y54" s="97">
        <f t="shared" si="8"/>
        <v>0.52649999999999997</v>
      </c>
      <c r="Z54" s="98">
        <f t="shared" si="9"/>
        <v>16.011449999999996</v>
      </c>
      <c r="AA54" s="88"/>
      <c r="AB54" s="89"/>
      <c r="AC54" s="89"/>
      <c r="AD54" s="89"/>
      <c r="AE54" s="89"/>
      <c r="AF54" s="89"/>
    </row>
    <row r="55" spans="1:32" s="90" customFormat="1" x14ac:dyDescent="0.45">
      <c r="A55" s="94" t="s">
        <v>516</v>
      </c>
      <c r="B55" s="95" t="s">
        <v>517</v>
      </c>
      <c r="C55" s="96"/>
      <c r="D55" s="96"/>
      <c r="E55" s="97">
        <f t="shared" si="4"/>
        <v>6.8424999999999994</v>
      </c>
      <c r="F55" s="97">
        <v>2.34</v>
      </c>
      <c r="G55" s="97">
        <f t="shared" si="5"/>
        <v>3.976</v>
      </c>
      <c r="H55" s="97">
        <v>0.7</v>
      </c>
      <c r="I55" s="97"/>
      <c r="J55" s="97"/>
      <c r="K55" s="97"/>
      <c r="L55" s="97">
        <v>0.7</v>
      </c>
      <c r="M55" s="97">
        <f t="shared" si="6"/>
        <v>1.6379999999999999</v>
      </c>
      <c r="N55" s="97">
        <v>0.7</v>
      </c>
      <c r="O55" s="97">
        <f>N55*(F55+I55+K55)</f>
        <v>1.6379999999999999</v>
      </c>
      <c r="P55" s="97"/>
      <c r="Q55" s="97"/>
      <c r="R55" s="97"/>
      <c r="S55" s="97"/>
      <c r="T55" s="97"/>
      <c r="U55" s="97"/>
      <c r="V55" s="97"/>
      <c r="W55" s="97"/>
      <c r="X55" s="97">
        <v>0.22500000000000001</v>
      </c>
      <c r="Y55" s="97">
        <f t="shared" si="8"/>
        <v>0.52649999999999997</v>
      </c>
      <c r="Z55" s="98">
        <f t="shared" si="9"/>
        <v>16.011449999999996</v>
      </c>
      <c r="AA55" s="88"/>
      <c r="AB55" s="89"/>
      <c r="AC55" s="89"/>
      <c r="AD55" s="89"/>
      <c r="AE55" s="89"/>
      <c r="AF55" s="89"/>
    </row>
    <row r="56" spans="1:32" s="90" customFormat="1" x14ac:dyDescent="0.45">
      <c r="A56" s="94" t="s">
        <v>518</v>
      </c>
      <c r="B56" s="95" t="s">
        <v>519</v>
      </c>
      <c r="C56" s="96"/>
      <c r="D56" s="96"/>
      <c r="E56" s="97">
        <f t="shared" si="4"/>
        <v>6.8424999999999994</v>
      </c>
      <c r="F56" s="97">
        <v>2.34</v>
      </c>
      <c r="G56" s="97">
        <f t="shared" si="5"/>
        <v>3.976</v>
      </c>
      <c r="H56" s="97">
        <v>0.7</v>
      </c>
      <c r="I56" s="97"/>
      <c r="J56" s="97"/>
      <c r="K56" s="97"/>
      <c r="L56" s="97">
        <v>0.7</v>
      </c>
      <c r="M56" s="97">
        <f t="shared" si="6"/>
        <v>1.6379999999999999</v>
      </c>
      <c r="N56" s="97">
        <v>0.7</v>
      </c>
      <c r="O56" s="97">
        <f>N56*(F56+I56+K56)</f>
        <v>1.6379999999999999</v>
      </c>
      <c r="P56" s="97"/>
      <c r="Q56" s="97"/>
      <c r="R56" s="97"/>
      <c r="S56" s="97"/>
      <c r="T56" s="97"/>
      <c r="U56" s="97"/>
      <c r="V56" s="97"/>
      <c r="W56" s="97"/>
      <c r="X56" s="97">
        <v>0.22500000000000001</v>
      </c>
      <c r="Y56" s="97">
        <f t="shared" si="8"/>
        <v>0.52649999999999997</v>
      </c>
      <c r="Z56" s="98">
        <f t="shared" si="9"/>
        <v>16.011449999999996</v>
      </c>
      <c r="AA56" s="88"/>
      <c r="AB56" s="89"/>
      <c r="AC56" s="89"/>
      <c r="AD56" s="89"/>
      <c r="AE56" s="89"/>
      <c r="AF56" s="89"/>
    </row>
    <row r="57" spans="1:32" s="90" customFormat="1" x14ac:dyDescent="0.45">
      <c r="A57" s="94" t="s">
        <v>520</v>
      </c>
      <c r="B57" s="95" t="s">
        <v>521</v>
      </c>
      <c r="C57" s="96"/>
      <c r="D57" s="96"/>
      <c r="E57" s="97">
        <f t="shared" si="4"/>
        <v>14.24219225</v>
      </c>
      <c r="F57" s="97">
        <v>4.9800000000000004</v>
      </c>
      <c r="G57" s="97">
        <f t="shared" si="5"/>
        <v>7.6436299999999999</v>
      </c>
      <c r="H57" s="97">
        <v>0.7</v>
      </c>
      <c r="I57" s="97"/>
      <c r="J57" s="97">
        <v>7.0000000000000007E-2</v>
      </c>
      <c r="K57" s="97">
        <f>J57*(F57+I57)</f>
        <v>0.34860000000000008</v>
      </c>
      <c r="L57" s="97">
        <v>0.7</v>
      </c>
      <c r="M57" s="97">
        <f t="shared" si="6"/>
        <v>3.7300200000000001</v>
      </c>
      <c r="N57" s="97"/>
      <c r="O57" s="97"/>
      <c r="P57" s="97">
        <v>1</v>
      </c>
      <c r="Q57" s="97"/>
      <c r="R57" s="97"/>
      <c r="S57" s="97"/>
      <c r="T57" s="97"/>
      <c r="U57" s="97">
        <v>0.35</v>
      </c>
      <c r="V57" s="97">
        <f>U57*(F57+I57+K57)</f>
        <v>1.8650100000000001</v>
      </c>
      <c r="W57" s="97"/>
      <c r="X57" s="97">
        <v>0.22500000000000001</v>
      </c>
      <c r="Y57" s="97">
        <f t="shared" si="8"/>
        <v>1.6185622500000001</v>
      </c>
      <c r="Z57" s="98">
        <f t="shared" si="9"/>
        <v>33.326729864999997</v>
      </c>
      <c r="AA57" s="88"/>
      <c r="AB57" s="89"/>
      <c r="AC57" s="89"/>
      <c r="AD57" s="89"/>
      <c r="AE57" s="89"/>
      <c r="AF57" s="89"/>
    </row>
    <row r="58" spans="1:32" s="90" customFormat="1" x14ac:dyDescent="0.45">
      <c r="A58" s="94" t="s">
        <v>522</v>
      </c>
      <c r="B58" s="95" t="s">
        <v>523</v>
      </c>
      <c r="C58" s="96"/>
      <c r="D58" s="96"/>
      <c r="E58" s="97">
        <f t="shared" si="4"/>
        <v>5.7605000000000004</v>
      </c>
      <c r="F58" s="97">
        <v>3.06</v>
      </c>
      <c r="G58" s="97">
        <f t="shared" si="5"/>
        <v>2.012</v>
      </c>
      <c r="H58" s="97">
        <v>0.7</v>
      </c>
      <c r="I58" s="97"/>
      <c r="J58" s="97"/>
      <c r="K58" s="97"/>
      <c r="L58" s="97">
        <v>0.2</v>
      </c>
      <c r="M58" s="97">
        <f t="shared" si="6"/>
        <v>0.6120000000000001</v>
      </c>
      <c r="N58" s="97"/>
      <c r="O58" s="97"/>
      <c r="P58" s="97">
        <v>0.7</v>
      </c>
      <c r="Q58" s="97"/>
      <c r="R58" s="97"/>
      <c r="S58" s="97"/>
      <c r="T58" s="97"/>
      <c r="U58" s="97"/>
      <c r="V58" s="97"/>
      <c r="W58" s="97"/>
      <c r="X58" s="97">
        <v>0.22500000000000001</v>
      </c>
      <c r="Y58" s="97">
        <f t="shared" si="8"/>
        <v>0.6885</v>
      </c>
      <c r="Z58" s="98">
        <f t="shared" si="9"/>
        <v>13.479570000000001</v>
      </c>
      <c r="AA58" s="88"/>
      <c r="AB58" s="89"/>
      <c r="AC58" s="89"/>
      <c r="AD58" s="89"/>
      <c r="AE58" s="89"/>
      <c r="AF58" s="89"/>
    </row>
    <row r="59" spans="1:32" s="90" customFormat="1" x14ac:dyDescent="0.45">
      <c r="A59" s="94" t="s">
        <v>524</v>
      </c>
      <c r="B59" s="95" t="s">
        <v>525</v>
      </c>
      <c r="C59" s="96"/>
      <c r="D59" s="96"/>
      <c r="E59" s="97">
        <f t="shared" si="4"/>
        <v>5.2117499999999994</v>
      </c>
      <c r="F59" s="97">
        <v>3.03</v>
      </c>
      <c r="G59" s="97">
        <f t="shared" si="5"/>
        <v>1.5</v>
      </c>
      <c r="H59" s="97">
        <v>0.7</v>
      </c>
      <c r="I59" s="97"/>
      <c r="J59" s="97"/>
      <c r="K59" s="97"/>
      <c r="L59" s="97"/>
      <c r="M59" s="97"/>
      <c r="N59" s="97"/>
      <c r="O59" s="97"/>
      <c r="P59" s="97">
        <v>0.7</v>
      </c>
      <c r="Q59" s="97"/>
      <c r="R59" s="97"/>
      <c r="S59" s="97"/>
      <c r="T59" s="97"/>
      <c r="U59" s="97"/>
      <c r="V59" s="97"/>
      <c r="W59" s="97">
        <v>0.1</v>
      </c>
      <c r="X59" s="97">
        <v>0.22500000000000001</v>
      </c>
      <c r="Y59" s="97">
        <f t="shared" si="8"/>
        <v>0.68174999999999997</v>
      </c>
      <c r="Z59" s="98">
        <f t="shared" si="9"/>
        <v>12.195494999999998</v>
      </c>
      <c r="AA59" s="88"/>
      <c r="AB59" s="89"/>
      <c r="AC59" s="89"/>
      <c r="AD59" s="89"/>
      <c r="AE59" s="89"/>
      <c r="AF59" s="89"/>
    </row>
    <row r="60" spans="1:32" s="90" customFormat="1" x14ac:dyDescent="0.45">
      <c r="A60" s="94" t="s">
        <v>526</v>
      </c>
      <c r="B60" s="95" t="s">
        <v>527</v>
      </c>
      <c r="C60" s="96"/>
      <c r="D60" s="96"/>
      <c r="E60" s="97">
        <f t="shared" si="4"/>
        <v>5.1485000000000003</v>
      </c>
      <c r="F60" s="97">
        <v>2.86</v>
      </c>
      <c r="G60" s="97">
        <f t="shared" si="5"/>
        <v>1.5999999999999999</v>
      </c>
      <c r="H60" s="97">
        <v>0.7</v>
      </c>
      <c r="I60" s="97">
        <v>0.2</v>
      </c>
      <c r="J60" s="97"/>
      <c r="K60" s="97"/>
      <c r="L60" s="97"/>
      <c r="M60" s="97"/>
      <c r="N60" s="97"/>
      <c r="O60" s="97"/>
      <c r="P60" s="97">
        <v>0.7</v>
      </c>
      <c r="Q60" s="97"/>
      <c r="R60" s="97"/>
      <c r="S60" s="97"/>
      <c r="T60" s="97"/>
      <c r="U60" s="97"/>
      <c r="V60" s="97"/>
      <c r="W60" s="97"/>
      <c r="X60" s="97">
        <v>0.22500000000000001</v>
      </c>
      <c r="Y60" s="97">
        <f t="shared" si="8"/>
        <v>0.6885</v>
      </c>
      <c r="Z60" s="98">
        <f t="shared" si="9"/>
        <v>12.04749</v>
      </c>
      <c r="AA60" s="88"/>
      <c r="AB60" s="89"/>
      <c r="AC60" s="89"/>
      <c r="AD60" s="89"/>
      <c r="AE60" s="89"/>
      <c r="AF60" s="89"/>
    </row>
    <row r="61" spans="1:32" s="90" customFormat="1" x14ac:dyDescent="0.45">
      <c r="A61" s="94" t="s">
        <v>528</v>
      </c>
      <c r="B61" s="95" t="s">
        <v>529</v>
      </c>
      <c r="C61" s="96"/>
      <c r="D61" s="96"/>
      <c r="E61" s="97">
        <f t="shared" si="4"/>
        <v>6.5205000000000002</v>
      </c>
      <c r="F61" s="97">
        <v>2.66</v>
      </c>
      <c r="G61" s="97">
        <f t="shared" si="5"/>
        <v>3.262</v>
      </c>
      <c r="H61" s="97">
        <v>0.7</v>
      </c>
      <c r="I61" s="97"/>
      <c r="J61" s="97"/>
      <c r="K61" s="97"/>
      <c r="L61" s="97"/>
      <c r="M61" s="97"/>
      <c r="N61" s="97">
        <v>0.7</v>
      </c>
      <c r="O61" s="97">
        <f t="shared" ref="O61:O66" si="12">N61*(F61+I61+K61)</f>
        <v>1.8619999999999999</v>
      </c>
      <c r="P61" s="97">
        <v>0.5</v>
      </c>
      <c r="Q61" s="97"/>
      <c r="R61" s="97"/>
      <c r="S61" s="97"/>
      <c r="T61" s="97"/>
      <c r="U61" s="97"/>
      <c r="V61" s="97"/>
      <c r="W61" s="97">
        <v>0.2</v>
      </c>
      <c r="X61" s="97">
        <v>0.22500000000000001</v>
      </c>
      <c r="Y61" s="97">
        <f t="shared" si="8"/>
        <v>0.59850000000000003</v>
      </c>
      <c r="Z61" s="98">
        <f t="shared" si="9"/>
        <v>15.25797</v>
      </c>
      <c r="AA61" s="88"/>
      <c r="AB61" s="89"/>
      <c r="AC61" s="89"/>
      <c r="AD61" s="89"/>
      <c r="AE61" s="89"/>
      <c r="AF61" s="89"/>
    </row>
    <row r="62" spans="1:32" s="90" customFormat="1" x14ac:dyDescent="0.45">
      <c r="A62" s="94" t="s">
        <v>530</v>
      </c>
      <c r="B62" s="95" t="s">
        <v>531</v>
      </c>
      <c r="C62" s="96"/>
      <c r="D62" s="96"/>
      <c r="E62" s="97">
        <f t="shared" si="4"/>
        <v>5.2044999999999995</v>
      </c>
      <c r="F62" s="97">
        <v>2.34</v>
      </c>
      <c r="G62" s="97">
        <f t="shared" si="5"/>
        <v>2.3380000000000001</v>
      </c>
      <c r="H62" s="97">
        <v>0.7</v>
      </c>
      <c r="I62" s="97"/>
      <c r="J62" s="97"/>
      <c r="K62" s="97"/>
      <c r="L62" s="97"/>
      <c r="M62" s="97"/>
      <c r="N62" s="97">
        <v>0.7</v>
      </c>
      <c r="O62" s="97">
        <f t="shared" si="12"/>
        <v>1.6379999999999999</v>
      </c>
      <c r="P62" s="97"/>
      <c r="Q62" s="97"/>
      <c r="R62" s="97"/>
      <c r="S62" s="97"/>
      <c r="T62" s="97"/>
      <c r="U62" s="97"/>
      <c r="V62" s="97"/>
      <c r="W62" s="97"/>
      <c r="X62" s="97">
        <v>0.22500000000000001</v>
      </c>
      <c r="Y62" s="97">
        <f t="shared" si="8"/>
        <v>0.52649999999999997</v>
      </c>
      <c r="Z62" s="98">
        <f t="shared" si="9"/>
        <v>12.178529999999999</v>
      </c>
      <c r="AA62" s="88"/>
      <c r="AB62" s="89"/>
      <c r="AC62" s="89"/>
      <c r="AD62" s="89"/>
      <c r="AE62" s="89"/>
      <c r="AF62" s="89"/>
    </row>
    <row r="63" spans="1:32" s="90" customFormat="1" x14ac:dyDescent="0.45">
      <c r="A63" s="94" t="s">
        <v>532</v>
      </c>
      <c r="B63" s="95" t="s">
        <v>533</v>
      </c>
      <c r="C63" s="96"/>
      <c r="D63" s="96"/>
      <c r="E63" s="97">
        <f t="shared" si="4"/>
        <v>5.2044999999999995</v>
      </c>
      <c r="F63" s="97">
        <v>2.34</v>
      </c>
      <c r="G63" s="97">
        <f t="shared" si="5"/>
        <v>2.3380000000000001</v>
      </c>
      <c r="H63" s="97">
        <v>0.7</v>
      </c>
      <c r="I63" s="97"/>
      <c r="J63" s="97"/>
      <c r="K63" s="97"/>
      <c r="L63" s="97"/>
      <c r="M63" s="97"/>
      <c r="N63" s="97">
        <v>0.7</v>
      </c>
      <c r="O63" s="97">
        <f t="shared" si="12"/>
        <v>1.6379999999999999</v>
      </c>
      <c r="P63" s="97"/>
      <c r="Q63" s="97"/>
      <c r="R63" s="97"/>
      <c r="S63" s="97"/>
      <c r="T63" s="97"/>
      <c r="U63" s="97"/>
      <c r="V63" s="97"/>
      <c r="W63" s="97"/>
      <c r="X63" s="97">
        <v>0.22500000000000001</v>
      </c>
      <c r="Y63" s="97">
        <f t="shared" si="8"/>
        <v>0.52649999999999997</v>
      </c>
      <c r="Z63" s="98">
        <f t="shared" si="9"/>
        <v>12.178529999999999</v>
      </c>
      <c r="AA63" s="88"/>
      <c r="AB63" s="89"/>
      <c r="AC63" s="89"/>
      <c r="AD63" s="89"/>
      <c r="AE63" s="89"/>
      <c r="AF63" s="89"/>
    </row>
    <row r="64" spans="1:32" s="90" customFormat="1" x14ac:dyDescent="0.45">
      <c r="A64" s="94" t="s">
        <v>534</v>
      </c>
      <c r="B64" s="95" t="s">
        <v>535</v>
      </c>
      <c r="C64" s="96"/>
      <c r="D64" s="96"/>
      <c r="E64" s="97">
        <f t="shared" si="4"/>
        <v>5.2044999999999995</v>
      </c>
      <c r="F64" s="97">
        <v>2.34</v>
      </c>
      <c r="G64" s="97">
        <f t="shared" si="5"/>
        <v>2.3380000000000001</v>
      </c>
      <c r="H64" s="97">
        <v>0.7</v>
      </c>
      <c r="I64" s="97"/>
      <c r="J64" s="97"/>
      <c r="K64" s="97"/>
      <c r="L64" s="97"/>
      <c r="M64" s="97"/>
      <c r="N64" s="97">
        <v>0.7</v>
      </c>
      <c r="O64" s="97">
        <f t="shared" si="12"/>
        <v>1.6379999999999999</v>
      </c>
      <c r="P64" s="97"/>
      <c r="Q64" s="97"/>
      <c r="R64" s="97"/>
      <c r="S64" s="97"/>
      <c r="T64" s="97"/>
      <c r="U64" s="97"/>
      <c r="V64" s="97"/>
      <c r="W64" s="97"/>
      <c r="X64" s="97">
        <v>0.22500000000000001</v>
      </c>
      <c r="Y64" s="97">
        <f t="shared" si="8"/>
        <v>0.52649999999999997</v>
      </c>
      <c r="Z64" s="98">
        <f t="shared" si="9"/>
        <v>12.178529999999999</v>
      </c>
      <c r="AA64" s="88"/>
      <c r="AB64" s="89"/>
      <c r="AC64" s="89"/>
      <c r="AD64" s="89"/>
      <c r="AE64" s="89"/>
      <c r="AF64" s="89"/>
    </row>
    <row r="65" spans="1:32" s="90" customFormat="1" x14ac:dyDescent="0.45">
      <c r="A65" s="94" t="s">
        <v>536</v>
      </c>
      <c r="B65" s="95" t="s">
        <v>537</v>
      </c>
      <c r="C65" s="96"/>
      <c r="D65" s="96"/>
      <c r="E65" s="97">
        <f t="shared" si="4"/>
        <v>5.2044999999999995</v>
      </c>
      <c r="F65" s="97">
        <v>2.34</v>
      </c>
      <c r="G65" s="97">
        <f t="shared" si="5"/>
        <v>2.3380000000000001</v>
      </c>
      <c r="H65" s="97">
        <v>0.7</v>
      </c>
      <c r="I65" s="97"/>
      <c r="J65" s="97"/>
      <c r="K65" s="97"/>
      <c r="L65" s="97"/>
      <c r="M65" s="97"/>
      <c r="N65" s="97">
        <v>0.7</v>
      </c>
      <c r="O65" s="97">
        <f t="shared" si="12"/>
        <v>1.6379999999999999</v>
      </c>
      <c r="P65" s="97"/>
      <c r="Q65" s="97"/>
      <c r="R65" s="97"/>
      <c r="S65" s="97"/>
      <c r="T65" s="97"/>
      <c r="U65" s="97"/>
      <c r="V65" s="97"/>
      <c r="W65" s="97"/>
      <c r="X65" s="97">
        <v>0.22500000000000001</v>
      </c>
      <c r="Y65" s="97">
        <f t="shared" si="8"/>
        <v>0.52649999999999997</v>
      </c>
      <c r="Z65" s="98">
        <f t="shared" si="9"/>
        <v>12.178529999999999</v>
      </c>
      <c r="AA65" s="88"/>
      <c r="AB65" s="89"/>
      <c r="AC65" s="89"/>
      <c r="AD65" s="89"/>
      <c r="AE65" s="89"/>
      <c r="AF65" s="89"/>
    </row>
    <row r="66" spans="1:32" s="90" customFormat="1" x14ac:dyDescent="0.45">
      <c r="A66" s="94" t="s">
        <v>538</v>
      </c>
      <c r="B66" s="95" t="s">
        <v>539</v>
      </c>
      <c r="C66" s="96"/>
      <c r="D66" s="96"/>
      <c r="E66" s="97">
        <f t="shared" si="4"/>
        <v>5.2044999999999995</v>
      </c>
      <c r="F66" s="97">
        <v>2.34</v>
      </c>
      <c r="G66" s="97">
        <f t="shared" si="5"/>
        <v>2.3380000000000001</v>
      </c>
      <c r="H66" s="97">
        <v>0.7</v>
      </c>
      <c r="I66" s="97"/>
      <c r="J66" s="97"/>
      <c r="K66" s="97"/>
      <c r="L66" s="97"/>
      <c r="M66" s="97"/>
      <c r="N66" s="97">
        <v>0.7</v>
      </c>
      <c r="O66" s="97">
        <f t="shared" si="12"/>
        <v>1.6379999999999999</v>
      </c>
      <c r="P66" s="97"/>
      <c r="Q66" s="97"/>
      <c r="R66" s="97"/>
      <c r="S66" s="97"/>
      <c r="T66" s="97"/>
      <c r="U66" s="97"/>
      <c r="V66" s="97"/>
      <c r="W66" s="97"/>
      <c r="X66" s="97">
        <v>0.22500000000000001</v>
      </c>
      <c r="Y66" s="97">
        <f t="shared" si="8"/>
        <v>0.52649999999999997</v>
      </c>
      <c r="Z66" s="98">
        <f t="shared" si="9"/>
        <v>12.178529999999999</v>
      </c>
      <c r="AA66" s="88"/>
      <c r="AB66" s="89"/>
      <c r="AC66" s="89"/>
      <c r="AD66" s="89"/>
      <c r="AE66" s="89"/>
      <c r="AF66" s="89"/>
    </row>
    <row r="67" spans="1:32" s="70" customFormat="1" ht="25.5" x14ac:dyDescent="0.45">
      <c r="A67" s="416"/>
      <c r="B67" s="87" t="s">
        <v>540</v>
      </c>
      <c r="C67" s="67">
        <v>35</v>
      </c>
      <c r="D67" s="67">
        <v>32</v>
      </c>
      <c r="E67" s="99">
        <f>SUM(E68:E100)</f>
        <v>305.43005845000005</v>
      </c>
      <c r="F67" s="99">
        <f t="shared" ref="F67:Z67" si="13">SUM(F68:F100)</f>
        <v>119.92000000000002</v>
      </c>
      <c r="G67" s="99">
        <f t="shared" si="13"/>
        <v>154.30234200000004</v>
      </c>
      <c r="H67" s="99">
        <f t="shared" si="13"/>
        <v>23.099999999999987</v>
      </c>
      <c r="I67" s="99">
        <f t="shared" si="13"/>
        <v>2.25</v>
      </c>
      <c r="J67" s="99">
        <f t="shared" si="13"/>
        <v>0.15000000000000002</v>
      </c>
      <c r="K67" s="99">
        <f t="shared" si="13"/>
        <v>0.6734</v>
      </c>
      <c r="L67" s="99">
        <f t="shared" si="13"/>
        <v>22.399999999999988</v>
      </c>
      <c r="M67" s="99">
        <f t="shared" si="13"/>
        <v>73.682380000000009</v>
      </c>
      <c r="N67" s="99">
        <f t="shared" si="13"/>
        <v>4.2</v>
      </c>
      <c r="O67" s="99">
        <f t="shared" si="13"/>
        <v>13.152999999999999</v>
      </c>
      <c r="P67" s="99">
        <f t="shared" si="13"/>
        <v>22.199999999999992</v>
      </c>
      <c r="Q67" s="99">
        <f t="shared" si="13"/>
        <v>0</v>
      </c>
      <c r="R67" s="99">
        <f t="shared" si="13"/>
        <v>0</v>
      </c>
      <c r="S67" s="99">
        <f t="shared" si="13"/>
        <v>0</v>
      </c>
      <c r="T67" s="99">
        <f t="shared" si="13"/>
        <v>0</v>
      </c>
      <c r="U67" s="99">
        <f t="shared" si="13"/>
        <v>3.629999999999999</v>
      </c>
      <c r="V67" s="99">
        <f t="shared" si="13"/>
        <v>15.857561999999998</v>
      </c>
      <c r="W67" s="99">
        <f t="shared" si="13"/>
        <v>8.9999999999999982</v>
      </c>
      <c r="X67" s="99">
        <f t="shared" si="13"/>
        <v>7.4249999999999954</v>
      </c>
      <c r="Y67" s="99">
        <f t="shared" si="13"/>
        <v>31.207716449999999</v>
      </c>
      <c r="Z67" s="99">
        <f t="shared" si="13"/>
        <v>714.70633677299998</v>
      </c>
      <c r="AA67" s="100"/>
      <c r="AB67" s="93">
        <f>E67*12*2.34</f>
        <v>8576.4760412760006</v>
      </c>
      <c r="AC67" s="93">
        <f>F67*10%*2.34*12</f>
        <v>336.73536000000001</v>
      </c>
      <c r="AD67" s="101"/>
      <c r="AE67" s="101"/>
      <c r="AF67" s="101"/>
    </row>
    <row r="68" spans="1:32" s="90" customFormat="1" x14ac:dyDescent="0.4">
      <c r="A68" s="86" t="s">
        <v>190</v>
      </c>
      <c r="B68" s="102" t="s">
        <v>541</v>
      </c>
      <c r="C68" s="103"/>
      <c r="D68" s="103"/>
      <c r="E68" s="97">
        <f>F68+G68+Y68</f>
        <v>5.6745624999999986</v>
      </c>
      <c r="F68" s="104">
        <v>1.65</v>
      </c>
      <c r="G68" s="104">
        <v>3.5874999999999995</v>
      </c>
      <c r="H68" s="104">
        <v>0.7</v>
      </c>
      <c r="I68" s="104">
        <v>0.2</v>
      </c>
      <c r="J68" s="104"/>
      <c r="K68" s="104">
        <v>0</v>
      </c>
      <c r="L68" s="104">
        <v>0.7</v>
      </c>
      <c r="M68" s="104">
        <v>1.2949999999999999</v>
      </c>
      <c r="N68" s="104"/>
      <c r="O68" s="104">
        <v>0</v>
      </c>
      <c r="P68" s="104">
        <v>1</v>
      </c>
      <c r="Q68" s="104"/>
      <c r="R68" s="104"/>
      <c r="S68" s="104"/>
      <c r="T68" s="104"/>
      <c r="U68" s="104">
        <v>0.05</v>
      </c>
      <c r="V68" s="104">
        <v>9.2499999999999999E-2</v>
      </c>
      <c r="W68" s="104">
        <v>0.3</v>
      </c>
      <c r="X68" s="97">
        <v>0.22500000000000001</v>
      </c>
      <c r="Y68" s="97">
        <f t="shared" si="8"/>
        <v>0.43706249999999996</v>
      </c>
      <c r="Z68" s="98">
        <f t="shared" si="9"/>
        <v>13.278476249999995</v>
      </c>
      <c r="AA68" s="105"/>
      <c r="AB68" s="89"/>
      <c r="AC68" s="89"/>
      <c r="AD68" s="89"/>
      <c r="AE68" s="89"/>
      <c r="AF68" s="89"/>
    </row>
    <row r="69" spans="1:32" s="90" customFormat="1" x14ac:dyDescent="0.4">
      <c r="A69" s="86" t="s">
        <v>191</v>
      </c>
      <c r="B69" s="106" t="s">
        <v>542</v>
      </c>
      <c r="C69" s="103"/>
      <c r="D69" s="103"/>
      <c r="E69" s="97">
        <f t="shared" ref="E69:E132" si="14">F69+G69+Y69</f>
        <v>12.000305000000001</v>
      </c>
      <c r="F69" s="104">
        <v>4.32</v>
      </c>
      <c r="G69" s="104">
        <v>6.4568000000000003</v>
      </c>
      <c r="H69" s="104">
        <v>0.7</v>
      </c>
      <c r="I69" s="104">
        <v>0.45</v>
      </c>
      <c r="J69" s="104"/>
      <c r="K69" s="104">
        <v>0</v>
      </c>
      <c r="L69" s="104">
        <v>0.7</v>
      </c>
      <c r="M69" s="104">
        <v>3.339</v>
      </c>
      <c r="N69" s="104"/>
      <c r="O69" s="104">
        <v>0</v>
      </c>
      <c r="P69" s="104">
        <v>1</v>
      </c>
      <c r="Q69" s="104"/>
      <c r="R69" s="104"/>
      <c r="S69" s="104"/>
      <c r="T69" s="104"/>
      <c r="U69" s="104">
        <v>0.14000000000000001</v>
      </c>
      <c r="V69" s="104">
        <v>0.66780000000000017</v>
      </c>
      <c r="W69" s="104">
        <v>0.3</v>
      </c>
      <c r="X69" s="97">
        <v>0.22500000000000001</v>
      </c>
      <c r="Y69" s="97">
        <f t="shared" si="8"/>
        <v>1.2235050000000003</v>
      </c>
      <c r="Z69" s="98">
        <f t="shared" si="9"/>
        <v>28.0807137</v>
      </c>
      <c r="AA69" s="105"/>
      <c r="AB69" s="382">
        <f>SUM(F68:F99)</f>
        <v>112.90000000000002</v>
      </c>
      <c r="AC69" s="382">
        <f>AB69*10%*2.34*12</f>
        <v>317.02320000000009</v>
      </c>
      <c r="AD69" s="89"/>
      <c r="AE69" s="89"/>
      <c r="AF69" s="89"/>
    </row>
    <row r="70" spans="1:32" s="90" customFormat="1" x14ac:dyDescent="0.4">
      <c r="A70" s="86" t="s">
        <v>309</v>
      </c>
      <c r="B70" s="106" t="s">
        <v>543</v>
      </c>
      <c r="C70" s="103"/>
      <c r="D70" s="103"/>
      <c r="E70" s="97">
        <f t="shared" si="14"/>
        <v>13.509155</v>
      </c>
      <c r="F70" s="104">
        <v>4.68</v>
      </c>
      <c r="G70" s="104">
        <v>7.3747999999999996</v>
      </c>
      <c r="H70" s="104">
        <v>0.7</v>
      </c>
      <c r="I70" s="104">
        <v>0.45</v>
      </c>
      <c r="J70" s="104"/>
      <c r="K70" s="104">
        <v>0</v>
      </c>
      <c r="L70" s="104">
        <v>0.7</v>
      </c>
      <c r="M70" s="104">
        <v>3.5909999999999997</v>
      </c>
      <c r="N70" s="104"/>
      <c r="O70" s="104">
        <v>0</v>
      </c>
      <c r="P70" s="104">
        <v>1</v>
      </c>
      <c r="Q70" s="104"/>
      <c r="R70" s="104"/>
      <c r="S70" s="104"/>
      <c r="T70" s="104"/>
      <c r="U70" s="104">
        <v>0.26</v>
      </c>
      <c r="V70" s="104">
        <v>1.3338000000000001</v>
      </c>
      <c r="W70" s="104">
        <v>0.3</v>
      </c>
      <c r="X70" s="97">
        <v>0.22500000000000001</v>
      </c>
      <c r="Y70" s="97">
        <f t="shared" si="8"/>
        <v>1.4543550000000001</v>
      </c>
      <c r="Z70" s="98">
        <f t="shared" si="9"/>
        <v>31.611422699999999</v>
      </c>
      <c r="AA70" s="105"/>
      <c r="AB70" s="89"/>
      <c r="AC70" s="89"/>
      <c r="AD70" s="89"/>
      <c r="AE70" s="89"/>
      <c r="AF70" s="89"/>
    </row>
    <row r="71" spans="1:32" s="90" customFormat="1" x14ac:dyDescent="0.4">
      <c r="A71" s="86" t="s">
        <v>310</v>
      </c>
      <c r="B71" s="106" t="s">
        <v>544</v>
      </c>
      <c r="C71" s="103"/>
      <c r="D71" s="103"/>
      <c r="E71" s="97">
        <f t="shared" si="14"/>
        <v>14.28109085</v>
      </c>
      <c r="F71" s="104">
        <v>4.9800000000000004</v>
      </c>
      <c r="G71" s="104">
        <v>7.730486</v>
      </c>
      <c r="H71" s="104">
        <v>0.7</v>
      </c>
      <c r="I71" s="104">
        <v>0</v>
      </c>
      <c r="J71" s="104">
        <v>7.0000000000000007E-2</v>
      </c>
      <c r="K71" s="104">
        <v>0.34860000000000008</v>
      </c>
      <c r="L71" s="104">
        <v>0.7</v>
      </c>
      <c r="M71" s="104">
        <v>3.7300200000000001</v>
      </c>
      <c r="N71" s="104"/>
      <c r="O71" s="104">
        <v>0</v>
      </c>
      <c r="P71" s="104">
        <v>1</v>
      </c>
      <c r="Q71" s="104"/>
      <c r="R71" s="104"/>
      <c r="S71" s="104"/>
      <c r="T71" s="104"/>
      <c r="U71" s="104">
        <v>0.31</v>
      </c>
      <c r="V71" s="104">
        <v>1.6518660000000003</v>
      </c>
      <c r="W71" s="104">
        <v>0.3</v>
      </c>
      <c r="X71" s="97">
        <v>0.22500000000000001</v>
      </c>
      <c r="Y71" s="97">
        <f t="shared" si="8"/>
        <v>1.5706048500000003</v>
      </c>
      <c r="Z71" s="98">
        <f t="shared" si="9"/>
        <v>33.417752588999996</v>
      </c>
      <c r="AA71" s="105"/>
      <c r="AB71" s="89"/>
      <c r="AC71" s="89"/>
      <c r="AD71" s="89"/>
      <c r="AE71" s="89"/>
      <c r="AF71" s="89"/>
    </row>
    <row r="72" spans="1:32" s="90" customFormat="1" x14ac:dyDescent="0.4">
      <c r="A72" s="86" t="s">
        <v>311</v>
      </c>
      <c r="B72" s="102" t="s">
        <v>545</v>
      </c>
      <c r="C72" s="103"/>
      <c r="D72" s="103"/>
      <c r="E72" s="97">
        <f t="shared" si="14"/>
        <v>10.658300000000001</v>
      </c>
      <c r="F72" s="104">
        <v>3.99</v>
      </c>
      <c r="G72" s="104">
        <v>5.5910000000000002</v>
      </c>
      <c r="H72" s="104">
        <v>0.7</v>
      </c>
      <c r="I72" s="104">
        <v>0</v>
      </c>
      <c r="J72" s="104"/>
      <c r="K72" s="104">
        <v>0</v>
      </c>
      <c r="L72" s="104">
        <v>0.7</v>
      </c>
      <c r="M72" s="104">
        <v>2.7930000000000001</v>
      </c>
      <c r="N72" s="104"/>
      <c r="O72" s="104">
        <v>0</v>
      </c>
      <c r="P72" s="104">
        <v>1</v>
      </c>
      <c r="Q72" s="104"/>
      <c r="R72" s="104"/>
      <c r="S72" s="104"/>
      <c r="T72" s="104"/>
      <c r="U72" s="104">
        <v>0.2</v>
      </c>
      <c r="V72" s="104">
        <v>0.79800000000000004</v>
      </c>
      <c r="W72" s="104">
        <v>0.3</v>
      </c>
      <c r="X72" s="97">
        <v>0.22500000000000001</v>
      </c>
      <c r="Y72" s="97">
        <f t="shared" si="8"/>
        <v>1.0773000000000001</v>
      </c>
      <c r="Z72" s="98">
        <f t="shared" si="9"/>
        <v>24.940421999999998</v>
      </c>
      <c r="AA72" s="105"/>
      <c r="AB72" s="89"/>
      <c r="AC72" s="89"/>
      <c r="AD72" s="89"/>
      <c r="AE72" s="89"/>
      <c r="AF72" s="89"/>
    </row>
    <row r="73" spans="1:32" s="90" customFormat="1" x14ac:dyDescent="0.4">
      <c r="A73" s="86" t="s">
        <v>312</v>
      </c>
      <c r="B73" s="102" t="s">
        <v>546</v>
      </c>
      <c r="C73" s="103"/>
      <c r="D73" s="103"/>
      <c r="E73" s="97">
        <f t="shared" si="14"/>
        <v>10.560545000000001</v>
      </c>
      <c r="F73" s="104">
        <v>3.99</v>
      </c>
      <c r="G73" s="104">
        <v>5.5112000000000005</v>
      </c>
      <c r="H73" s="104">
        <v>0.7</v>
      </c>
      <c r="I73" s="104">
        <v>0</v>
      </c>
      <c r="J73" s="104"/>
      <c r="K73" s="104">
        <v>0</v>
      </c>
      <c r="L73" s="104">
        <v>0.7</v>
      </c>
      <c r="M73" s="104">
        <v>2.7930000000000001</v>
      </c>
      <c r="N73" s="104"/>
      <c r="O73" s="104">
        <v>0</v>
      </c>
      <c r="P73" s="104">
        <v>1</v>
      </c>
      <c r="Q73" s="104"/>
      <c r="R73" s="104"/>
      <c r="S73" s="104"/>
      <c r="T73" s="104"/>
      <c r="U73" s="104">
        <v>0.18</v>
      </c>
      <c r="V73" s="104">
        <v>0.71820000000000006</v>
      </c>
      <c r="W73" s="104">
        <v>0.3</v>
      </c>
      <c r="X73" s="97">
        <v>0.22500000000000001</v>
      </c>
      <c r="Y73" s="97">
        <f t="shared" si="8"/>
        <v>1.0593450000000002</v>
      </c>
      <c r="Z73" s="98">
        <f t="shared" si="9"/>
        <v>24.7116753</v>
      </c>
      <c r="AA73" s="105"/>
      <c r="AB73" s="89"/>
      <c r="AC73" s="89"/>
      <c r="AD73" s="89"/>
      <c r="AE73" s="89"/>
      <c r="AF73" s="89"/>
    </row>
    <row r="74" spans="1:32" s="90" customFormat="1" x14ac:dyDescent="0.4">
      <c r="A74" s="86" t="s">
        <v>313</v>
      </c>
      <c r="B74" s="102" t="s">
        <v>547</v>
      </c>
      <c r="C74" s="103"/>
      <c r="D74" s="103"/>
      <c r="E74" s="97">
        <f t="shared" si="14"/>
        <v>11.364635</v>
      </c>
      <c r="F74" s="104">
        <v>4.34</v>
      </c>
      <c r="G74" s="104">
        <v>5.8625999999999996</v>
      </c>
      <c r="H74" s="104">
        <v>0.7</v>
      </c>
      <c r="I74" s="104">
        <v>0</v>
      </c>
      <c r="J74" s="104"/>
      <c r="K74" s="104">
        <v>0</v>
      </c>
      <c r="L74" s="104">
        <v>0.7</v>
      </c>
      <c r="M74" s="104">
        <v>3.0379999999999998</v>
      </c>
      <c r="N74" s="104"/>
      <c r="O74" s="104">
        <v>0</v>
      </c>
      <c r="P74" s="104">
        <v>1</v>
      </c>
      <c r="Q74" s="104"/>
      <c r="R74" s="104"/>
      <c r="S74" s="104"/>
      <c r="T74" s="104"/>
      <c r="U74" s="104">
        <v>0.19</v>
      </c>
      <c r="V74" s="104">
        <v>0.8246</v>
      </c>
      <c r="W74" s="104">
        <v>0.3</v>
      </c>
      <c r="X74" s="97">
        <v>0.22500000000000001</v>
      </c>
      <c r="Y74" s="97">
        <f t="shared" si="8"/>
        <v>1.1620350000000002</v>
      </c>
      <c r="Z74" s="98">
        <f t="shared" si="9"/>
        <v>26.593245899999999</v>
      </c>
      <c r="AA74" s="105"/>
      <c r="AB74" s="89"/>
      <c r="AC74" s="89"/>
      <c r="AD74" s="89"/>
      <c r="AE74" s="89"/>
      <c r="AF74" s="89"/>
    </row>
    <row r="75" spans="1:32" s="90" customFormat="1" x14ac:dyDescent="0.4">
      <c r="A75" s="86" t="s">
        <v>314</v>
      </c>
      <c r="B75" s="102" t="s">
        <v>548</v>
      </c>
      <c r="C75" s="103"/>
      <c r="D75" s="103"/>
      <c r="E75" s="97">
        <f t="shared" si="14"/>
        <v>11.311469999999998</v>
      </c>
      <c r="F75" s="104">
        <v>4.34</v>
      </c>
      <c r="G75" s="104">
        <v>5.8191999999999995</v>
      </c>
      <c r="H75" s="104">
        <v>0.7</v>
      </c>
      <c r="I75" s="104">
        <v>0</v>
      </c>
      <c r="J75" s="104"/>
      <c r="K75" s="104">
        <v>0</v>
      </c>
      <c r="L75" s="104">
        <v>0.7</v>
      </c>
      <c r="M75" s="104">
        <v>3.0379999999999998</v>
      </c>
      <c r="N75" s="104"/>
      <c r="O75" s="104">
        <v>0</v>
      </c>
      <c r="P75" s="104">
        <v>1</v>
      </c>
      <c r="Q75" s="104"/>
      <c r="R75" s="104"/>
      <c r="S75" s="104"/>
      <c r="T75" s="104"/>
      <c r="U75" s="104">
        <v>0.18</v>
      </c>
      <c r="V75" s="104">
        <v>0.78119999999999989</v>
      </c>
      <c r="W75" s="104">
        <v>0.3</v>
      </c>
      <c r="X75" s="97">
        <v>0.22500000000000001</v>
      </c>
      <c r="Y75" s="97">
        <f t="shared" si="8"/>
        <v>1.1522700000000001</v>
      </c>
      <c r="Z75" s="98">
        <f t="shared" si="9"/>
        <v>26.468839799999994</v>
      </c>
      <c r="AA75" s="105"/>
      <c r="AB75" s="89"/>
      <c r="AC75" s="89"/>
      <c r="AD75" s="89"/>
      <c r="AE75" s="89"/>
      <c r="AF75" s="89"/>
    </row>
    <row r="76" spans="1:32" s="90" customFormat="1" x14ac:dyDescent="0.4">
      <c r="A76" s="86" t="s">
        <v>315</v>
      </c>
      <c r="B76" s="102" t="s">
        <v>549</v>
      </c>
      <c r="C76" s="103"/>
      <c r="D76" s="103"/>
      <c r="E76" s="97">
        <f t="shared" si="14"/>
        <v>9.7180250000000008</v>
      </c>
      <c r="F76" s="104">
        <v>3.66</v>
      </c>
      <c r="G76" s="104">
        <v>5.1109999999999998</v>
      </c>
      <c r="H76" s="104">
        <v>0.7</v>
      </c>
      <c r="I76" s="104">
        <v>0</v>
      </c>
      <c r="J76" s="104"/>
      <c r="K76" s="104">
        <v>0</v>
      </c>
      <c r="L76" s="104">
        <v>0.7</v>
      </c>
      <c r="M76" s="104">
        <v>2.5619999999999998</v>
      </c>
      <c r="N76" s="104"/>
      <c r="O76" s="104">
        <v>0</v>
      </c>
      <c r="P76" s="104">
        <v>1</v>
      </c>
      <c r="Q76" s="104"/>
      <c r="R76" s="104"/>
      <c r="S76" s="104"/>
      <c r="T76" s="104"/>
      <c r="U76" s="104">
        <v>0.15</v>
      </c>
      <c r="V76" s="104">
        <v>0.54900000000000004</v>
      </c>
      <c r="W76" s="104">
        <v>0.3</v>
      </c>
      <c r="X76" s="97">
        <v>0.22500000000000001</v>
      </c>
      <c r="Y76" s="97">
        <f t="shared" si="8"/>
        <v>0.94702500000000012</v>
      </c>
      <c r="Z76" s="98">
        <f t="shared" si="9"/>
        <v>22.740178499999999</v>
      </c>
      <c r="AA76" s="105"/>
      <c r="AB76" s="89"/>
      <c r="AC76" s="89"/>
      <c r="AD76" s="89"/>
      <c r="AE76" s="89"/>
      <c r="AF76" s="89"/>
    </row>
    <row r="77" spans="1:32" s="90" customFormat="1" x14ac:dyDescent="0.4">
      <c r="A77" s="86" t="s">
        <v>316</v>
      </c>
      <c r="B77" s="102" t="s">
        <v>550</v>
      </c>
      <c r="C77" s="103"/>
      <c r="D77" s="103"/>
      <c r="E77" s="97">
        <f t="shared" si="14"/>
        <v>9.6731900000000017</v>
      </c>
      <c r="F77" s="104">
        <v>3.66</v>
      </c>
      <c r="G77" s="104">
        <v>5.0743999999999998</v>
      </c>
      <c r="H77" s="104">
        <v>0.7</v>
      </c>
      <c r="I77" s="104">
        <v>0</v>
      </c>
      <c r="J77" s="104"/>
      <c r="K77" s="104">
        <v>0</v>
      </c>
      <c r="L77" s="104">
        <v>0.7</v>
      </c>
      <c r="M77" s="104">
        <v>2.5619999999999998</v>
      </c>
      <c r="N77" s="104"/>
      <c r="O77" s="104">
        <v>0</v>
      </c>
      <c r="P77" s="104">
        <v>1</v>
      </c>
      <c r="Q77" s="104"/>
      <c r="R77" s="104"/>
      <c r="S77" s="104"/>
      <c r="T77" s="104"/>
      <c r="U77" s="104">
        <v>0.14000000000000001</v>
      </c>
      <c r="V77" s="104">
        <v>0.51240000000000008</v>
      </c>
      <c r="W77" s="104">
        <v>0.3</v>
      </c>
      <c r="X77" s="97">
        <v>0.22500000000000001</v>
      </c>
      <c r="Y77" s="97">
        <f t="shared" si="8"/>
        <v>0.93879000000000012</v>
      </c>
      <c r="Z77" s="98">
        <f t="shared" si="9"/>
        <v>22.635264600000003</v>
      </c>
      <c r="AA77" s="105"/>
      <c r="AB77" s="89"/>
      <c r="AC77" s="89"/>
      <c r="AD77" s="89"/>
      <c r="AE77" s="89"/>
      <c r="AF77" s="89"/>
    </row>
    <row r="78" spans="1:32" s="90" customFormat="1" x14ac:dyDescent="0.4">
      <c r="A78" s="86" t="s">
        <v>317</v>
      </c>
      <c r="B78" s="102" t="s">
        <v>551</v>
      </c>
      <c r="C78" s="103"/>
      <c r="D78" s="103"/>
      <c r="E78" s="97">
        <f t="shared" si="14"/>
        <v>10.745645</v>
      </c>
      <c r="F78" s="104">
        <v>4.34</v>
      </c>
      <c r="G78" s="104">
        <v>5.3022</v>
      </c>
      <c r="H78" s="104">
        <v>0.7</v>
      </c>
      <c r="I78" s="104">
        <v>0</v>
      </c>
      <c r="J78" s="104"/>
      <c r="K78" s="104">
        <v>0</v>
      </c>
      <c r="L78" s="104">
        <v>0.7</v>
      </c>
      <c r="M78" s="104">
        <v>3.0379999999999998</v>
      </c>
      <c r="N78" s="104"/>
      <c r="O78" s="104">
        <v>0</v>
      </c>
      <c r="P78" s="104">
        <v>0.7</v>
      </c>
      <c r="Q78" s="104"/>
      <c r="R78" s="104"/>
      <c r="S78" s="104"/>
      <c r="T78" s="104"/>
      <c r="U78" s="104">
        <v>0.13</v>
      </c>
      <c r="V78" s="104">
        <v>0.56420000000000003</v>
      </c>
      <c r="W78" s="104">
        <v>0.3</v>
      </c>
      <c r="X78" s="97">
        <v>0.22500000000000001</v>
      </c>
      <c r="Y78" s="97">
        <f t="shared" si="8"/>
        <v>1.103445</v>
      </c>
      <c r="Z78" s="98">
        <f t="shared" si="9"/>
        <v>25.144809299999999</v>
      </c>
      <c r="AA78" s="105"/>
      <c r="AB78" s="89"/>
      <c r="AC78" s="89"/>
      <c r="AD78" s="89"/>
      <c r="AE78" s="89"/>
      <c r="AF78" s="89"/>
    </row>
    <row r="79" spans="1:32" s="90" customFormat="1" x14ac:dyDescent="0.4">
      <c r="A79" s="86" t="s">
        <v>318</v>
      </c>
      <c r="B79" s="102" t="s">
        <v>552</v>
      </c>
      <c r="C79" s="103"/>
      <c r="D79" s="103"/>
      <c r="E79" s="97">
        <f t="shared" si="14"/>
        <v>11.162494999999998</v>
      </c>
      <c r="F79" s="104">
        <v>4.34</v>
      </c>
      <c r="G79" s="104">
        <v>5.6681999999999997</v>
      </c>
      <c r="H79" s="104">
        <v>0.7</v>
      </c>
      <c r="I79" s="104">
        <v>0.2</v>
      </c>
      <c r="J79" s="104"/>
      <c r="K79" s="104">
        <v>0</v>
      </c>
      <c r="L79" s="104">
        <v>0.7</v>
      </c>
      <c r="M79" s="104">
        <v>3.1779999999999999</v>
      </c>
      <c r="N79" s="104"/>
      <c r="O79" s="104">
        <v>0</v>
      </c>
      <c r="P79" s="104">
        <v>0.7</v>
      </c>
      <c r="Q79" s="104"/>
      <c r="R79" s="104"/>
      <c r="S79" s="104"/>
      <c r="T79" s="104"/>
      <c r="U79" s="104">
        <v>0.13</v>
      </c>
      <c r="V79" s="104">
        <v>0.59020000000000006</v>
      </c>
      <c r="W79" s="104">
        <v>0.3</v>
      </c>
      <c r="X79" s="97">
        <v>0.22500000000000001</v>
      </c>
      <c r="Y79" s="97">
        <f t="shared" si="8"/>
        <v>1.1542950000000001</v>
      </c>
      <c r="Z79" s="98">
        <f t="shared" si="9"/>
        <v>26.120238299999993</v>
      </c>
      <c r="AA79" s="105"/>
      <c r="AB79" s="89"/>
      <c r="AC79" s="89"/>
      <c r="AD79" s="89"/>
      <c r="AE79" s="89"/>
      <c r="AF79" s="89"/>
    </row>
    <row r="80" spans="1:32" s="90" customFormat="1" x14ac:dyDescent="0.4">
      <c r="A80" s="86" t="s">
        <v>319</v>
      </c>
      <c r="B80" s="102" t="s">
        <v>553</v>
      </c>
      <c r="C80" s="103"/>
      <c r="D80" s="103"/>
      <c r="E80" s="97">
        <f t="shared" si="14"/>
        <v>11.051264999999999</v>
      </c>
      <c r="F80" s="104">
        <v>4.34</v>
      </c>
      <c r="G80" s="104">
        <v>5.577399999999999</v>
      </c>
      <c r="H80" s="104">
        <v>0.7</v>
      </c>
      <c r="I80" s="104">
        <v>0.2</v>
      </c>
      <c r="J80" s="104"/>
      <c r="K80" s="104">
        <v>0</v>
      </c>
      <c r="L80" s="104">
        <v>0.7</v>
      </c>
      <c r="M80" s="104">
        <v>3.1779999999999999</v>
      </c>
      <c r="N80" s="104"/>
      <c r="O80" s="104">
        <v>0</v>
      </c>
      <c r="P80" s="104">
        <v>0.7</v>
      </c>
      <c r="Q80" s="104"/>
      <c r="R80" s="104"/>
      <c r="S80" s="104"/>
      <c r="T80" s="104"/>
      <c r="U80" s="104">
        <v>0.11</v>
      </c>
      <c r="V80" s="104">
        <v>0.49940000000000001</v>
      </c>
      <c r="W80" s="104">
        <v>0.3</v>
      </c>
      <c r="X80" s="97">
        <v>0.22500000000000001</v>
      </c>
      <c r="Y80" s="97">
        <f t="shared" si="8"/>
        <v>1.1338649999999999</v>
      </c>
      <c r="Z80" s="98">
        <f t="shared" si="9"/>
        <v>25.859960099999995</v>
      </c>
      <c r="AA80" s="105"/>
      <c r="AB80" s="89"/>
      <c r="AC80" s="89"/>
      <c r="AD80" s="89"/>
      <c r="AE80" s="89"/>
      <c r="AF80" s="89"/>
    </row>
    <row r="81" spans="1:32" s="90" customFormat="1" x14ac:dyDescent="0.4">
      <c r="A81" s="86" t="s">
        <v>320</v>
      </c>
      <c r="B81" s="102" t="s">
        <v>554</v>
      </c>
      <c r="C81" s="103"/>
      <c r="D81" s="103"/>
      <c r="E81" s="97">
        <f t="shared" si="14"/>
        <v>8.6121499999999997</v>
      </c>
      <c r="F81" s="104">
        <v>3.33</v>
      </c>
      <c r="G81" s="104">
        <v>4.46</v>
      </c>
      <c r="H81" s="104">
        <v>0.7</v>
      </c>
      <c r="I81" s="104">
        <v>0.15</v>
      </c>
      <c r="J81" s="104"/>
      <c r="K81" s="104">
        <v>0</v>
      </c>
      <c r="L81" s="104">
        <v>0.7</v>
      </c>
      <c r="M81" s="104">
        <v>2.4359999999999999</v>
      </c>
      <c r="N81" s="104"/>
      <c r="O81" s="104">
        <v>0</v>
      </c>
      <c r="P81" s="104">
        <v>0.7</v>
      </c>
      <c r="Q81" s="104"/>
      <c r="R81" s="104"/>
      <c r="S81" s="104"/>
      <c r="T81" s="104"/>
      <c r="U81" s="104">
        <v>0.05</v>
      </c>
      <c r="V81" s="104">
        <v>0.17400000000000002</v>
      </c>
      <c r="W81" s="104">
        <v>0.3</v>
      </c>
      <c r="X81" s="97">
        <v>0.22500000000000001</v>
      </c>
      <c r="Y81" s="97">
        <f t="shared" ref="Y81:Y144" si="15">(F81+I81+K81+V81)*X81</f>
        <v>0.82215000000000005</v>
      </c>
      <c r="Z81" s="98">
        <f t="shared" ref="Z81:Z99" si="16">E81*2.34</f>
        <v>20.152430999999996</v>
      </c>
      <c r="AA81" s="105"/>
      <c r="AB81" s="89"/>
      <c r="AC81" s="89"/>
      <c r="AD81" s="89"/>
      <c r="AE81" s="89"/>
      <c r="AF81" s="89"/>
    </row>
    <row r="82" spans="1:32" s="90" customFormat="1" x14ac:dyDescent="0.4">
      <c r="A82" s="86" t="s">
        <v>555</v>
      </c>
      <c r="B82" s="102" t="s">
        <v>556</v>
      </c>
      <c r="C82" s="103"/>
      <c r="D82" s="103"/>
      <c r="E82" s="97">
        <f t="shared" si="14"/>
        <v>6.8032874999999997</v>
      </c>
      <c r="F82" s="104">
        <v>2.67</v>
      </c>
      <c r="G82" s="104">
        <v>3.5024999999999999</v>
      </c>
      <c r="H82" s="104">
        <v>0.7</v>
      </c>
      <c r="I82" s="104">
        <v>0</v>
      </c>
      <c r="J82" s="104"/>
      <c r="K82" s="104">
        <v>0</v>
      </c>
      <c r="L82" s="104">
        <v>0.7</v>
      </c>
      <c r="M82" s="104">
        <v>1.8689999999999998</v>
      </c>
      <c r="N82" s="104"/>
      <c r="O82" s="104">
        <v>0</v>
      </c>
      <c r="P82" s="104">
        <v>0.5</v>
      </c>
      <c r="Q82" s="104"/>
      <c r="R82" s="104"/>
      <c r="S82" s="104"/>
      <c r="T82" s="104"/>
      <c r="U82" s="104">
        <v>0.05</v>
      </c>
      <c r="V82" s="104">
        <v>0.13350000000000001</v>
      </c>
      <c r="W82" s="104">
        <v>0.3</v>
      </c>
      <c r="X82" s="97">
        <v>0.22500000000000001</v>
      </c>
      <c r="Y82" s="97">
        <f t="shared" si="15"/>
        <v>0.63078750000000006</v>
      </c>
      <c r="Z82" s="98">
        <f t="shared" si="16"/>
        <v>15.919692749999998</v>
      </c>
      <c r="AA82" s="105"/>
      <c r="AB82" s="89"/>
      <c r="AC82" s="89"/>
      <c r="AD82" s="89"/>
      <c r="AE82" s="89"/>
      <c r="AF82" s="89"/>
    </row>
    <row r="83" spans="1:32" s="90" customFormat="1" x14ac:dyDescent="0.4">
      <c r="A83" s="86" t="s">
        <v>557</v>
      </c>
      <c r="B83" s="106" t="s">
        <v>558</v>
      </c>
      <c r="C83" s="103"/>
      <c r="D83" s="103"/>
      <c r="E83" s="97">
        <f t="shared" si="14"/>
        <v>6.6397499999999994</v>
      </c>
      <c r="F83" s="104">
        <v>2.67</v>
      </c>
      <c r="G83" s="104">
        <v>3.3689999999999998</v>
      </c>
      <c r="H83" s="104">
        <v>0.7</v>
      </c>
      <c r="I83" s="104">
        <v>0</v>
      </c>
      <c r="J83" s="104"/>
      <c r="K83" s="104">
        <v>0</v>
      </c>
      <c r="L83" s="104">
        <v>0.7</v>
      </c>
      <c r="M83" s="104">
        <v>1.8689999999999998</v>
      </c>
      <c r="N83" s="104"/>
      <c r="O83" s="104">
        <v>0</v>
      </c>
      <c r="P83" s="104">
        <v>0.5</v>
      </c>
      <c r="Q83" s="104"/>
      <c r="R83" s="104"/>
      <c r="S83" s="104"/>
      <c r="T83" s="104"/>
      <c r="U83" s="104">
        <v>0</v>
      </c>
      <c r="V83" s="104">
        <v>0</v>
      </c>
      <c r="W83" s="104">
        <v>0.3</v>
      </c>
      <c r="X83" s="97">
        <v>0.22500000000000001</v>
      </c>
      <c r="Y83" s="97">
        <f t="shared" si="15"/>
        <v>0.60075000000000001</v>
      </c>
      <c r="Z83" s="98">
        <f t="shared" si="16"/>
        <v>15.537014999999998</v>
      </c>
      <c r="AA83" s="105"/>
      <c r="AB83" s="89"/>
      <c r="AC83" s="89"/>
      <c r="AD83" s="89"/>
      <c r="AE83" s="89"/>
      <c r="AF83" s="89"/>
    </row>
    <row r="84" spans="1:32" s="90" customFormat="1" x14ac:dyDescent="0.4">
      <c r="A84" s="86" t="s">
        <v>559</v>
      </c>
      <c r="B84" s="102" t="s">
        <v>560</v>
      </c>
      <c r="C84" s="103"/>
      <c r="D84" s="103"/>
      <c r="E84" s="97">
        <f t="shared" si="14"/>
        <v>7.1425000000000001</v>
      </c>
      <c r="F84" s="104">
        <v>2.34</v>
      </c>
      <c r="G84" s="104">
        <v>4.2759999999999998</v>
      </c>
      <c r="H84" s="104">
        <v>0.7</v>
      </c>
      <c r="I84" s="104">
        <v>0</v>
      </c>
      <c r="J84" s="104"/>
      <c r="K84" s="104">
        <v>0</v>
      </c>
      <c r="L84" s="104">
        <v>0.7</v>
      </c>
      <c r="M84" s="104">
        <v>1.6379999999999999</v>
      </c>
      <c r="N84" s="104">
        <v>0.7</v>
      </c>
      <c r="O84" s="104">
        <v>1.6379999999999999</v>
      </c>
      <c r="P84" s="104">
        <v>0</v>
      </c>
      <c r="Q84" s="104"/>
      <c r="R84" s="104"/>
      <c r="S84" s="104"/>
      <c r="T84" s="104"/>
      <c r="U84" s="104">
        <v>0</v>
      </c>
      <c r="V84" s="104">
        <v>0</v>
      </c>
      <c r="W84" s="104">
        <v>0.3</v>
      </c>
      <c r="X84" s="97">
        <v>0.22500000000000001</v>
      </c>
      <c r="Y84" s="97">
        <f t="shared" si="15"/>
        <v>0.52649999999999997</v>
      </c>
      <c r="Z84" s="98">
        <f t="shared" si="16"/>
        <v>16.713449999999998</v>
      </c>
      <c r="AA84" s="105"/>
      <c r="AB84" s="89"/>
      <c r="AC84" s="89"/>
      <c r="AD84" s="89"/>
      <c r="AE84" s="89"/>
      <c r="AF84" s="89"/>
    </row>
    <row r="85" spans="1:32" s="90" customFormat="1" x14ac:dyDescent="0.4">
      <c r="A85" s="86" t="s">
        <v>561</v>
      </c>
      <c r="B85" s="106" t="s">
        <v>562</v>
      </c>
      <c r="C85" s="103"/>
      <c r="D85" s="103"/>
      <c r="E85" s="97">
        <f t="shared" si="14"/>
        <v>13.569844999999999</v>
      </c>
      <c r="F85" s="104">
        <v>5.0199999999999996</v>
      </c>
      <c r="G85" s="104">
        <v>7.0701999999999989</v>
      </c>
      <c r="H85" s="104">
        <v>0.7</v>
      </c>
      <c r="I85" s="104">
        <v>0</v>
      </c>
      <c r="J85" s="104"/>
      <c r="K85" s="104">
        <v>0</v>
      </c>
      <c r="L85" s="104">
        <v>0.7</v>
      </c>
      <c r="M85" s="104">
        <v>3.5139999999999993</v>
      </c>
      <c r="N85" s="104"/>
      <c r="O85" s="104">
        <v>0</v>
      </c>
      <c r="P85" s="104">
        <v>1</v>
      </c>
      <c r="Q85" s="104"/>
      <c r="R85" s="104"/>
      <c r="S85" s="104"/>
      <c r="T85" s="104"/>
      <c r="U85" s="104">
        <v>0.31</v>
      </c>
      <c r="V85" s="104">
        <v>1.5561999999999998</v>
      </c>
      <c r="W85" s="104">
        <v>0.3</v>
      </c>
      <c r="X85" s="97">
        <v>0.22500000000000001</v>
      </c>
      <c r="Y85" s="97">
        <f t="shared" si="15"/>
        <v>1.4796449999999999</v>
      </c>
      <c r="Z85" s="98">
        <f t="shared" si="16"/>
        <v>31.753437299999995</v>
      </c>
      <c r="AA85" s="105"/>
      <c r="AB85" s="89"/>
      <c r="AC85" s="89"/>
      <c r="AD85" s="89"/>
      <c r="AE85" s="89"/>
      <c r="AF85" s="89"/>
    </row>
    <row r="86" spans="1:32" s="90" customFormat="1" x14ac:dyDescent="0.4">
      <c r="A86" s="86" t="s">
        <v>563</v>
      </c>
      <c r="B86" s="106" t="s">
        <v>564</v>
      </c>
      <c r="C86" s="103"/>
      <c r="D86" s="103"/>
      <c r="E86" s="97">
        <f t="shared" si="14"/>
        <v>12.499650000000001</v>
      </c>
      <c r="F86" s="104">
        <v>4.58</v>
      </c>
      <c r="G86" s="104">
        <v>6.5799999999999992</v>
      </c>
      <c r="H86" s="104">
        <v>0.7</v>
      </c>
      <c r="I86" s="104">
        <v>0</v>
      </c>
      <c r="J86" s="104"/>
      <c r="K86" s="104">
        <v>0</v>
      </c>
      <c r="L86" s="104">
        <v>0.7</v>
      </c>
      <c r="M86" s="104">
        <v>3.206</v>
      </c>
      <c r="N86" s="104"/>
      <c r="O86" s="104">
        <v>0</v>
      </c>
      <c r="P86" s="104">
        <v>1</v>
      </c>
      <c r="Q86" s="104"/>
      <c r="R86" s="104"/>
      <c r="S86" s="104"/>
      <c r="T86" s="104"/>
      <c r="U86" s="104">
        <v>0.3</v>
      </c>
      <c r="V86" s="104">
        <v>1.3739999999999999</v>
      </c>
      <c r="W86" s="104">
        <v>0.3</v>
      </c>
      <c r="X86" s="97">
        <v>0.22500000000000001</v>
      </c>
      <c r="Y86" s="97">
        <f t="shared" si="15"/>
        <v>1.33965</v>
      </c>
      <c r="Z86" s="98">
        <f t="shared" si="16"/>
        <v>29.249181</v>
      </c>
      <c r="AA86" s="105"/>
      <c r="AB86" s="89"/>
      <c r="AC86" s="89"/>
      <c r="AD86" s="89"/>
      <c r="AE86" s="89"/>
      <c r="AF86" s="89"/>
    </row>
    <row r="87" spans="1:32" s="90" customFormat="1" x14ac:dyDescent="0.4">
      <c r="A87" s="86" t="s">
        <v>565</v>
      </c>
      <c r="B87" s="106" t="s">
        <v>566</v>
      </c>
      <c r="C87" s="103"/>
      <c r="D87" s="103"/>
      <c r="E87" s="97">
        <f t="shared" si="14"/>
        <v>11.891012599999998</v>
      </c>
      <c r="F87" s="104">
        <v>4.0599999999999996</v>
      </c>
      <c r="G87" s="104">
        <v>6.5780559999999983</v>
      </c>
      <c r="H87" s="104">
        <v>0.7</v>
      </c>
      <c r="I87" s="104">
        <v>0</v>
      </c>
      <c r="J87" s="104">
        <v>0.08</v>
      </c>
      <c r="K87" s="104">
        <v>0.32479999999999998</v>
      </c>
      <c r="L87" s="104">
        <v>0.7</v>
      </c>
      <c r="M87" s="104">
        <v>3.0693599999999992</v>
      </c>
      <c r="N87" s="104"/>
      <c r="O87" s="104">
        <v>0</v>
      </c>
      <c r="P87" s="104">
        <v>1</v>
      </c>
      <c r="Q87" s="104"/>
      <c r="R87" s="104"/>
      <c r="S87" s="104"/>
      <c r="T87" s="104"/>
      <c r="U87" s="104">
        <v>0.27</v>
      </c>
      <c r="V87" s="104">
        <v>1.1838959999999998</v>
      </c>
      <c r="W87" s="104">
        <v>0.3</v>
      </c>
      <c r="X87" s="97">
        <v>0.22500000000000001</v>
      </c>
      <c r="Y87" s="97">
        <f t="shared" si="15"/>
        <v>1.2529565999999999</v>
      </c>
      <c r="Z87" s="98">
        <f t="shared" si="16"/>
        <v>27.824969483999993</v>
      </c>
      <c r="AA87" s="105"/>
      <c r="AB87" s="89"/>
      <c r="AC87" s="89"/>
      <c r="AD87" s="89"/>
      <c r="AE87" s="89"/>
      <c r="AF87" s="89"/>
    </row>
    <row r="88" spans="1:32" s="90" customFormat="1" x14ac:dyDescent="0.4">
      <c r="A88" s="86" t="s">
        <v>567</v>
      </c>
      <c r="B88" s="107" t="s">
        <v>568</v>
      </c>
      <c r="C88" s="103"/>
      <c r="D88" s="103"/>
      <c r="E88" s="97">
        <f t="shared" si="14"/>
        <v>9.3283550000000002</v>
      </c>
      <c r="F88" s="104">
        <v>3.66</v>
      </c>
      <c r="G88" s="104">
        <v>4.7378</v>
      </c>
      <c r="H88" s="104">
        <v>0.7</v>
      </c>
      <c r="I88" s="104">
        <v>0</v>
      </c>
      <c r="J88" s="104"/>
      <c r="K88" s="104">
        <v>0</v>
      </c>
      <c r="L88" s="104">
        <v>0.7</v>
      </c>
      <c r="M88" s="104">
        <v>2.5619999999999998</v>
      </c>
      <c r="N88" s="104"/>
      <c r="O88" s="104">
        <v>0</v>
      </c>
      <c r="P88" s="104">
        <v>0.7</v>
      </c>
      <c r="Q88" s="104"/>
      <c r="R88" s="104"/>
      <c r="S88" s="104"/>
      <c r="T88" s="104"/>
      <c r="U88" s="104">
        <v>0.13</v>
      </c>
      <c r="V88" s="104">
        <v>0.47580000000000006</v>
      </c>
      <c r="W88" s="104">
        <v>0.3</v>
      </c>
      <c r="X88" s="97">
        <v>0.22500000000000001</v>
      </c>
      <c r="Y88" s="97">
        <f t="shared" si="15"/>
        <v>0.93055500000000013</v>
      </c>
      <c r="Z88" s="98">
        <f t="shared" si="16"/>
        <v>21.828350699999998</v>
      </c>
      <c r="AA88" s="105"/>
      <c r="AB88" s="89"/>
      <c r="AC88" s="89"/>
      <c r="AD88" s="89"/>
      <c r="AE88" s="89"/>
      <c r="AF88" s="89"/>
    </row>
    <row r="89" spans="1:32" s="90" customFormat="1" x14ac:dyDescent="0.4">
      <c r="A89" s="86" t="s">
        <v>569</v>
      </c>
      <c r="B89" s="106" t="s">
        <v>570</v>
      </c>
      <c r="C89" s="103"/>
      <c r="D89" s="103"/>
      <c r="E89" s="97">
        <f t="shared" si="14"/>
        <v>10.036999999999999</v>
      </c>
      <c r="F89" s="104">
        <v>4</v>
      </c>
      <c r="G89" s="104">
        <v>5.0200000000000005</v>
      </c>
      <c r="H89" s="104">
        <v>0.7</v>
      </c>
      <c r="I89" s="104">
        <v>0</v>
      </c>
      <c r="J89" s="104"/>
      <c r="K89" s="104">
        <v>0</v>
      </c>
      <c r="L89" s="104">
        <v>0.7</v>
      </c>
      <c r="M89" s="104">
        <v>2.8</v>
      </c>
      <c r="N89" s="104"/>
      <c r="O89" s="104">
        <v>0</v>
      </c>
      <c r="P89" s="104">
        <v>0.7</v>
      </c>
      <c r="Q89" s="104"/>
      <c r="R89" s="104"/>
      <c r="S89" s="104"/>
      <c r="T89" s="104"/>
      <c r="U89" s="104">
        <v>0.13</v>
      </c>
      <c r="V89" s="104">
        <v>0.52</v>
      </c>
      <c r="W89" s="104">
        <v>0.3</v>
      </c>
      <c r="X89" s="97">
        <v>0.22500000000000001</v>
      </c>
      <c r="Y89" s="97">
        <f t="shared" si="15"/>
        <v>1.0169999999999999</v>
      </c>
      <c r="Z89" s="98">
        <f t="shared" si="16"/>
        <v>23.486579999999996</v>
      </c>
      <c r="AA89" s="105"/>
      <c r="AB89" s="89"/>
      <c r="AC89" s="89"/>
      <c r="AD89" s="89"/>
      <c r="AE89" s="89"/>
      <c r="AF89" s="89"/>
    </row>
    <row r="90" spans="1:32" s="90" customFormat="1" x14ac:dyDescent="0.4">
      <c r="A90" s="86" t="s">
        <v>571</v>
      </c>
      <c r="B90" s="108" t="s">
        <v>572</v>
      </c>
      <c r="C90" s="103"/>
      <c r="D90" s="103"/>
      <c r="E90" s="97">
        <f t="shared" si="14"/>
        <v>10.702400000000001</v>
      </c>
      <c r="F90" s="104">
        <v>4</v>
      </c>
      <c r="G90" s="104">
        <v>5.6440000000000001</v>
      </c>
      <c r="H90" s="104">
        <v>0.7</v>
      </c>
      <c r="I90" s="104">
        <v>0.2</v>
      </c>
      <c r="J90" s="104"/>
      <c r="K90" s="104">
        <v>0</v>
      </c>
      <c r="L90" s="104">
        <v>0.7</v>
      </c>
      <c r="M90" s="104">
        <v>2.94</v>
      </c>
      <c r="N90" s="104"/>
      <c r="O90" s="104">
        <v>0</v>
      </c>
      <c r="P90" s="104">
        <v>0.7</v>
      </c>
      <c r="Q90" s="104"/>
      <c r="R90" s="104"/>
      <c r="S90" s="104"/>
      <c r="T90" s="104"/>
      <c r="U90" s="104">
        <v>0.12</v>
      </c>
      <c r="V90" s="104">
        <v>0.504</v>
      </c>
      <c r="W90" s="104">
        <v>0.6</v>
      </c>
      <c r="X90" s="97">
        <v>0.22500000000000001</v>
      </c>
      <c r="Y90" s="97">
        <f t="shared" si="15"/>
        <v>1.0584000000000002</v>
      </c>
      <c r="Z90" s="98">
        <f t="shared" si="16"/>
        <v>25.043616</v>
      </c>
      <c r="AA90" s="105"/>
      <c r="AB90" s="89"/>
      <c r="AC90" s="89"/>
      <c r="AD90" s="89"/>
      <c r="AE90" s="89"/>
      <c r="AF90" s="89"/>
    </row>
    <row r="91" spans="1:32" s="90" customFormat="1" x14ac:dyDescent="0.4">
      <c r="A91" s="86" t="s">
        <v>573</v>
      </c>
      <c r="B91" s="107" t="s">
        <v>574</v>
      </c>
      <c r="C91" s="103"/>
      <c r="D91" s="103"/>
      <c r="E91" s="97">
        <f t="shared" si="14"/>
        <v>8.9276749999999989</v>
      </c>
      <c r="F91" s="104">
        <v>3.33</v>
      </c>
      <c r="G91" s="104">
        <v>4.7239999999999993</v>
      </c>
      <c r="H91" s="104">
        <v>0.7</v>
      </c>
      <c r="I91" s="104">
        <v>0.2</v>
      </c>
      <c r="J91" s="104"/>
      <c r="K91" s="104">
        <v>0</v>
      </c>
      <c r="L91" s="104">
        <v>0.7</v>
      </c>
      <c r="M91" s="104">
        <v>2.4710000000000001</v>
      </c>
      <c r="N91" s="104"/>
      <c r="O91" s="104">
        <v>0</v>
      </c>
      <c r="P91" s="104">
        <v>0.7</v>
      </c>
      <c r="Q91" s="104"/>
      <c r="R91" s="104"/>
      <c r="S91" s="104"/>
      <c r="T91" s="104"/>
      <c r="U91" s="104">
        <v>0.1</v>
      </c>
      <c r="V91" s="104">
        <v>0.35299999999999998</v>
      </c>
      <c r="W91" s="104">
        <v>0.3</v>
      </c>
      <c r="X91" s="97">
        <v>0.22500000000000001</v>
      </c>
      <c r="Y91" s="97">
        <f t="shared" si="15"/>
        <v>0.87367499999999998</v>
      </c>
      <c r="Z91" s="98">
        <f t="shared" si="16"/>
        <v>20.890759499999998</v>
      </c>
      <c r="AA91" s="105"/>
      <c r="AB91" s="89"/>
      <c r="AC91" s="89"/>
      <c r="AD91" s="89"/>
      <c r="AE91" s="89"/>
      <c r="AF91" s="89"/>
    </row>
    <row r="92" spans="1:32" s="90" customFormat="1" x14ac:dyDescent="0.4">
      <c r="A92" s="86" t="s">
        <v>575</v>
      </c>
      <c r="B92" s="106" t="s">
        <v>576</v>
      </c>
      <c r="C92" s="103"/>
      <c r="D92" s="103"/>
      <c r="E92" s="97">
        <f t="shared" si="14"/>
        <v>7.1425000000000001</v>
      </c>
      <c r="F92" s="104">
        <v>2.34</v>
      </c>
      <c r="G92" s="104">
        <v>4.2759999999999998</v>
      </c>
      <c r="H92" s="104">
        <v>0.7</v>
      </c>
      <c r="I92" s="104">
        <v>0</v>
      </c>
      <c r="J92" s="104"/>
      <c r="K92" s="104">
        <v>0</v>
      </c>
      <c r="L92" s="104">
        <v>0.7</v>
      </c>
      <c r="M92" s="104">
        <v>1.6379999999999999</v>
      </c>
      <c r="N92" s="104">
        <v>0.7</v>
      </c>
      <c r="O92" s="104">
        <v>1.6379999999999999</v>
      </c>
      <c r="P92" s="104">
        <v>0</v>
      </c>
      <c r="Q92" s="104"/>
      <c r="R92" s="104"/>
      <c r="S92" s="104"/>
      <c r="T92" s="104"/>
      <c r="U92" s="104">
        <v>0</v>
      </c>
      <c r="V92" s="104">
        <v>0</v>
      </c>
      <c r="W92" s="104">
        <v>0.3</v>
      </c>
      <c r="X92" s="97">
        <v>0.22500000000000001</v>
      </c>
      <c r="Y92" s="97">
        <f t="shared" si="15"/>
        <v>0.52649999999999997</v>
      </c>
      <c r="Z92" s="98">
        <f t="shared" si="16"/>
        <v>16.713449999999998</v>
      </c>
      <c r="AA92" s="105"/>
      <c r="AB92" s="89"/>
      <c r="AC92" s="89"/>
      <c r="AD92" s="89"/>
      <c r="AE92" s="89"/>
      <c r="AF92" s="89"/>
    </row>
    <row r="93" spans="1:32" s="90" customFormat="1" x14ac:dyDescent="0.4">
      <c r="A93" s="86" t="s">
        <v>577</v>
      </c>
      <c r="B93" s="106" t="s">
        <v>578</v>
      </c>
      <c r="C93" s="103"/>
      <c r="D93" s="103"/>
      <c r="E93" s="97">
        <f t="shared" si="14"/>
        <v>7.1425000000000001</v>
      </c>
      <c r="F93" s="104">
        <v>2.34</v>
      </c>
      <c r="G93" s="104">
        <v>4.2759999999999998</v>
      </c>
      <c r="H93" s="104">
        <v>0.7</v>
      </c>
      <c r="I93" s="104">
        <v>0</v>
      </c>
      <c r="J93" s="104"/>
      <c r="K93" s="104">
        <v>0</v>
      </c>
      <c r="L93" s="104">
        <v>0.7</v>
      </c>
      <c r="M93" s="104">
        <v>1.6379999999999999</v>
      </c>
      <c r="N93" s="104">
        <v>0.7</v>
      </c>
      <c r="O93" s="104">
        <v>1.6379999999999999</v>
      </c>
      <c r="P93" s="104">
        <v>0</v>
      </c>
      <c r="Q93" s="104"/>
      <c r="R93" s="104"/>
      <c r="S93" s="104"/>
      <c r="T93" s="104"/>
      <c r="U93" s="104">
        <v>0</v>
      </c>
      <c r="V93" s="104">
        <v>0</v>
      </c>
      <c r="W93" s="104">
        <v>0.3</v>
      </c>
      <c r="X93" s="97">
        <v>0.22500000000000001</v>
      </c>
      <c r="Y93" s="97">
        <f t="shared" si="15"/>
        <v>0.52649999999999997</v>
      </c>
      <c r="Z93" s="98">
        <f t="shared" si="16"/>
        <v>16.713449999999998</v>
      </c>
      <c r="AA93" s="105"/>
      <c r="AB93" s="89"/>
      <c r="AC93" s="89"/>
      <c r="AD93" s="89"/>
      <c r="AE93" s="89"/>
      <c r="AF93" s="89"/>
    </row>
    <row r="94" spans="1:32" s="90" customFormat="1" x14ac:dyDescent="0.4">
      <c r="A94" s="86" t="s">
        <v>579</v>
      </c>
      <c r="B94" s="106" t="s">
        <v>580</v>
      </c>
      <c r="C94" s="103"/>
      <c r="D94" s="103"/>
      <c r="E94" s="97">
        <f t="shared" si="14"/>
        <v>7.1425000000000001</v>
      </c>
      <c r="F94" s="104">
        <v>2.34</v>
      </c>
      <c r="G94" s="104">
        <v>4.2759999999999998</v>
      </c>
      <c r="H94" s="104">
        <v>0.7</v>
      </c>
      <c r="I94" s="104">
        <v>0</v>
      </c>
      <c r="J94" s="104"/>
      <c r="K94" s="104">
        <v>0</v>
      </c>
      <c r="L94" s="104">
        <v>0.7</v>
      </c>
      <c r="M94" s="104">
        <v>1.6379999999999999</v>
      </c>
      <c r="N94" s="104">
        <v>0.7</v>
      </c>
      <c r="O94" s="104">
        <v>1.6379999999999999</v>
      </c>
      <c r="P94" s="104">
        <v>0</v>
      </c>
      <c r="Q94" s="104"/>
      <c r="R94" s="104"/>
      <c r="S94" s="104"/>
      <c r="T94" s="104"/>
      <c r="U94" s="104">
        <v>0</v>
      </c>
      <c r="V94" s="104">
        <v>0</v>
      </c>
      <c r="W94" s="104">
        <v>0.3</v>
      </c>
      <c r="X94" s="97">
        <v>0.22500000000000001</v>
      </c>
      <c r="Y94" s="97">
        <f t="shared" si="15"/>
        <v>0.52649999999999997</v>
      </c>
      <c r="Z94" s="98">
        <f t="shared" si="16"/>
        <v>16.713449999999998</v>
      </c>
      <c r="AA94" s="105"/>
      <c r="AB94" s="89"/>
      <c r="AC94" s="89"/>
      <c r="AD94" s="89"/>
      <c r="AE94" s="89"/>
      <c r="AF94" s="89"/>
    </row>
    <row r="95" spans="1:32" s="90" customFormat="1" x14ac:dyDescent="0.4">
      <c r="A95" s="86" t="s">
        <v>581</v>
      </c>
      <c r="B95" s="106" t="s">
        <v>484</v>
      </c>
      <c r="C95" s="103"/>
      <c r="D95" s="103"/>
      <c r="E95" s="97">
        <f t="shared" si="14"/>
        <v>7.3262499999999999</v>
      </c>
      <c r="F95" s="104">
        <v>2.41</v>
      </c>
      <c r="G95" s="104">
        <v>4.3739999999999997</v>
      </c>
      <c r="H95" s="104">
        <v>0.7</v>
      </c>
      <c r="I95" s="104">
        <v>0</v>
      </c>
      <c r="J95" s="104"/>
      <c r="K95" s="104">
        <v>0</v>
      </c>
      <c r="L95" s="104">
        <v>0.7</v>
      </c>
      <c r="M95" s="104">
        <v>1.6870000000000001</v>
      </c>
      <c r="N95" s="104">
        <v>0.7</v>
      </c>
      <c r="O95" s="104">
        <v>1.6870000000000001</v>
      </c>
      <c r="P95" s="104">
        <v>0</v>
      </c>
      <c r="Q95" s="104"/>
      <c r="R95" s="104"/>
      <c r="S95" s="104"/>
      <c r="T95" s="104"/>
      <c r="U95" s="104">
        <v>0</v>
      </c>
      <c r="V95" s="104">
        <v>0</v>
      </c>
      <c r="W95" s="104">
        <v>0.3</v>
      </c>
      <c r="X95" s="97">
        <v>0.22500000000000001</v>
      </c>
      <c r="Y95" s="97">
        <f t="shared" si="15"/>
        <v>0.54225000000000001</v>
      </c>
      <c r="Z95" s="98">
        <f t="shared" si="16"/>
        <v>17.143424999999997</v>
      </c>
      <c r="AA95" s="105"/>
      <c r="AB95" s="89"/>
      <c r="AC95" s="89"/>
      <c r="AD95" s="89"/>
      <c r="AE95" s="89"/>
      <c r="AF95" s="89"/>
    </row>
    <row r="96" spans="1:32" s="90" customFormat="1" x14ac:dyDescent="0.4">
      <c r="A96" s="86" t="s">
        <v>582</v>
      </c>
      <c r="B96" s="106" t="s">
        <v>583</v>
      </c>
      <c r="C96" s="103"/>
      <c r="D96" s="103"/>
      <c r="E96" s="97">
        <f t="shared" si="14"/>
        <v>5.31175</v>
      </c>
      <c r="F96" s="104">
        <v>3.03</v>
      </c>
      <c r="G96" s="104">
        <v>1.5999999999999999</v>
      </c>
      <c r="H96" s="104">
        <v>0.7</v>
      </c>
      <c r="I96" s="104">
        <v>0</v>
      </c>
      <c r="J96" s="104"/>
      <c r="K96" s="104">
        <v>0</v>
      </c>
      <c r="L96" s="104">
        <v>0.7</v>
      </c>
      <c r="M96" s="104">
        <v>0</v>
      </c>
      <c r="N96" s="104"/>
      <c r="O96" s="104">
        <v>0</v>
      </c>
      <c r="P96" s="104">
        <v>0.7</v>
      </c>
      <c r="Q96" s="104"/>
      <c r="R96" s="104"/>
      <c r="S96" s="104"/>
      <c r="T96" s="104"/>
      <c r="U96" s="104">
        <v>0</v>
      </c>
      <c r="V96" s="104">
        <v>0</v>
      </c>
      <c r="W96" s="104">
        <v>0.2</v>
      </c>
      <c r="X96" s="97">
        <v>0.22500000000000001</v>
      </c>
      <c r="Y96" s="97">
        <f t="shared" si="15"/>
        <v>0.68174999999999997</v>
      </c>
      <c r="Z96" s="98">
        <f t="shared" si="16"/>
        <v>12.429494999999999</v>
      </c>
      <c r="AA96" s="105"/>
      <c r="AB96" s="89"/>
      <c r="AC96" s="89"/>
      <c r="AD96" s="89"/>
      <c r="AE96" s="89"/>
      <c r="AF96" s="89"/>
    </row>
    <row r="97" spans="1:32" s="90" customFormat="1" x14ac:dyDescent="0.4">
      <c r="A97" s="86" t="s">
        <v>584</v>
      </c>
      <c r="B97" s="102" t="s">
        <v>585</v>
      </c>
      <c r="C97" s="103"/>
      <c r="D97" s="103"/>
      <c r="E97" s="97">
        <f t="shared" si="14"/>
        <v>5.2117499999999994</v>
      </c>
      <c r="F97" s="104">
        <v>3.03</v>
      </c>
      <c r="G97" s="104">
        <v>1.5</v>
      </c>
      <c r="H97" s="104">
        <v>0.7</v>
      </c>
      <c r="I97" s="104">
        <v>0</v>
      </c>
      <c r="J97" s="104"/>
      <c r="K97" s="104">
        <v>0</v>
      </c>
      <c r="L97" s="104">
        <v>0.7</v>
      </c>
      <c r="M97" s="104">
        <v>0</v>
      </c>
      <c r="N97" s="104"/>
      <c r="O97" s="104">
        <v>0</v>
      </c>
      <c r="P97" s="104">
        <v>0.7</v>
      </c>
      <c r="Q97" s="104"/>
      <c r="R97" s="104"/>
      <c r="S97" s="104"/>
      <c r="T97" s="104"/>
      <c r="U97" s="104">
        <v>0</v>
      </c>
      <c r="V97" s="104">
        <v>0</v>
      </c>
      <c r="W97" s="104">
        <v>0.1</v>
      </c>
      <c r="X97" s="97">
        <v>0.22500000000000001</v>
      </c>
      <c r="Y97" s="97">
        <f t="shared" si="15"/>
        <v>0.68174999999999997</v>
      </c>
      <c r="Z97" s="98">
        <f t="shared" si="16"/>
        <v>12.195494999999998</v>
      </c>
      <c r="AA97" s="105"/>
      <c r="AB97" s="89"/>
      <c r="AC97" s="89"/>
      <c r="AD97" s="89"/>
      <c r="AE97" s="89"/>
      <c r="AF97" s="89"/>
    </row>
    <row r="98" spans="1:32" s="90" customFormat="1" x14ac:dyDescent="0.4">
      <c r="A98" s="86" t="s">
        <v>586</v>
      </c>
      <c r="B98" s="102" t="s">
        <v>587</v>
      </c>
      <c r="C98" s="103"/>
      <c r="D98" s="103"/>
      <c r="E98" s="97">
        <f t="shared" si="14"/>
        <v>5.4755000000000003</v>
      </c>
      <c r="F98" s="104">
        <v>2.86</v>
      </c>
      <c r="G98" s="104">
        <v>1.9719999999999998</v>
      </c>
      <c r="H98" s="104">
        <v>0.7</v>
      </c>
      <c r="I98" s="104">
        <v>0</v>
      </c>
      <c r="J98" s="104"/>
      <c r="K98" s="104">
        <v>0</v>
      </c>
      <c r="L98" s="104">
        <v>0.7</v>
      </c>
      <c r="M98" s="104">
        <v>0.57199999999999995</v>
      </c>
      <c r="N98" s="104"/>
      <c r="O98" s="104">
        <v>0</v>
      </c>
      <c r="P98" s="104">
        <v>0.7</v>
      </c>
      <c r="Q98" s="104"/>
      <c r="R98" s="104"/>
      <c r="S98" s="104"/>
      <c r="T98" s="104"/>
      <c r="U98" s="104">
        <v>0</v>
      </c>
      <c r="V98" s="104">
        <v>0</v>
      </c>
      <c r="W98" s="104">
        <v>0</v>
      </c>
      <c r="X98" s="97">
        <v>0.22500000000000001</v>
      </c>
      <c r="Y98" s="97">
        <f t="shared" si="15"/>
        <v>0.64349999999999996</v>
      </c>
      <c r="Z98" s="98">
        <f t="shared" si="16"/>
        <v>12.812670000000001</v>
      </c>
      <c r="AA98" s="105"/>
      <c r="AB98" s="89"/>
      <c r="AC98" s="89"/>
      <c r="AD98" s="89"/>
      <c r="AE98" s="89"/>
      <c r="AF98" s="89"/>
    </row>
    <row r="99" spans="1:32" s="90" customFormat="1" x14ac:dyDescent="0.4">
      <c r="A99" s="86" t="s">
        <v>588</v>
      </c>
      <c r="B99" s="102" t="s">
        <v>589</v>
      </c>
      <c r="C99" s="103"/>
      <c r="D99" s="103"/>
      <c r="E99" s="97">
        <f t="shared" si="14"/>
        <v>4.2134999999999998</v>
      </c>
      <c r="F99" s="104">
        <v>2.2599999999999998</v>
      </c>
      <c r="G99" s="104">
        <v>1.4</v>
      </c>
      <c r="H99" s="104">
        <v>0.7</v>
      </c>
      <c r="I99" s="104">
        <v>0.2</v>
      </c>
      <c r="J99" s="104"/>
      <c r="K99" s="104">
        <v>0</v>
      </c>
      <c r="L99" s="104">
        <v>0.7</v>
      </c>
      <c r="M99" s="104">
        <v>0</v>
      </c>
      <c r="N99" s="104"/>
      <c r="O99" s="104">
        <v>0</v>
      </c>
      <c r="P99" s="104">
        <v>0.5</v>
      </c>
      <c r="Q99" s="104"/>
      <c r="R99" s="104"/>
      <c r="S99" s="104"/>
      <c r="T99" s="104"/>
      <c r="U99" s="104">
        <v>0</v>
      </c>
      <c r="V99" s="104">
        <v>0</v>
      </c>
      <c r="W99" s="104">
        <v>0</v>
      </c>
      <c r="X99" s="97">
        <v>0.22500000000000001</v>
      </c>
      <c r="Y99" s="97">
        <f t="shared" si="15"/>
        <v>0.55349999999999999</v>
      </c>
      <c r="Z99" s="98">
        <f t="shared" si="16"/>
        <v>9.859589999999999</v>
      </c>
      <c r="AA99" s="105"/>
      <c r="AB99" s="89"/>
      <c r="AC99" s="89"/>
      <c r="AD99" s="89"/>
      <c r="AE99" s="89"/>
      <c r="AF99" s="89"/>
    </row>
    <row r="100" spans="1:32" s="90" customFormat="1" x14ac:dyDescent="0.45">
      <c r="A100" s="86" t="s">
        <v>590</v>
      </c>
      <c r="B100" s="109" t="s">
        <v>591</v>
      </c>
      <c r="C100" s="103"/>
      <c r="D100" s="103"/>
      <c r="E100" s="97">
        <f t="shared" si="14"/>
        <v>8.599499999999999</v>
      </c>
      <c r="F100" s="104">
        <v>7.02</v>
      </c>
      <c r="G100" s="104">
        <v>0</v>
      </c>
      <c r="H100" s="104">
        <v>0.7</v>
      </c>
      <c r="I100" s="104"/>
      <c r="J100" s="104"/>
      <c r="K100" s="104"/>
      <c r="L100" s="104"/>
      <c r="M100" s="104"/>
      <c r="N100" s="104">
        <v>0.7</v>
      </c>
      <c r="O100" s="97">
        <f>N100*(F100+I100+K100)</f>
        <v>4.9139999999999997</v>
      </c>
      <c r="P100" s="104"/>
      <c r="Q100" s="104"/>
      <c r="R100" s="104"/>
      <c r="S100" s="104"/>
      <c r="T100" s="104"/>
      <c r="U100" s="104"/>
      <c r="V100" s="104"/>
      <c r="W100" s="104"/>
      <c r="X100" s="97">
        <v>0.22500000000000001</v>
      </c>
      <c r="Y100" s="97">
        <f t="shared" si="15"/>
        <v>1.5794999999999999</v>
      </c>
      <c r="Z100" s="98">
        <f>E100*2.34</f>
        <v>20.122829999999997</v>
      </c>
      <c r="AA100" s="105"/>
      <c r="AB100" s="89"/>
      <c r="AC100" s="89"/>
      <c r="AD100" s="89"/>
      <c r="AE100" s="89"/>
      <c r="AF100" s="89"/>
    </row>
    <row r="101" spans="1:32" s="90" customFormat="1" ht="25.5" x14ac:dyDescent="0.45">
      <c r="A101" s="86"/>
      <c r="B101" s="87" t="s">
        <v>592</v>
      </c>
      <c r="C101" s="67">
        <v>43</v>
      </c>
      <c r="D101" s="67">
        <v>43</v>
      </c>
      <c r="E101" s="99">
        <f>SUM(E102:E145)</f>
        <v>460.97356249999996</v>
      </c>
      <c r="F101" s="99">
        <f t="shared" ref="F101:Z101" si="17">SUM(F102:F145)</f>
        <v>172.3599999999999</v>
      </c>
      <c r="G101" s="99">
        <f t="shared" si="17"/>
        <v>244.84149999999988</v>
      </c>
      <c r="H101" s="99">
        <f t="shared" si="17"/>
        <v>41.299999999999976</v>
      </c>
      <c r="I101" s="99">
        <f t="shared" si="17"/>
        <v>3.8</v>
      </c>
      <c r="J101" s="99">
        <f t="shared" si="17"/>
        <v>0</v>
      </c>
      <c r="K101" s="99">
        <f t="shared" si="17"/>
        <v>0</v>
      </c>
      <c r="L101" s="99">
        <f t="shared" si="17"/>
        <v>38.499999999999979</v>
      </c>
      <c r="M101" s="99">
        <f t="shared" si="17"/>
        <v>114.97499999999998</v>
      </c>
      <c r="N101" s="99">
        <f t="shared" si="17"/>
        <v>16.799999999999997</v>
      </c>
      <c r="O101" s="99">
        <f t="shared" si="17"/>
        <v>37.183999999999997</v>
      </c>
      <c r="P101" s="99">
        <f t="shared" si="17"/>
        <v>29.099999999999998</v>
      </c>
      <c r="Q101" s="99">
        <f t="shared" si="17"/>
        <v>0</v>
      </c>
      <c r="R101" s="99">
        <f t="shared" si="17"/>
        <v>0</v>
      </c>
      <c r="S101" s="99">
        <f t="shared" si="17"/>
        <v>0</v>
      </c>
      <c r="T101" s="99">
        <f t="shared" si="17"/>
        <v>0</v>
      </c>
      <c r="U101" s="99">
        <f t="shared" si="17"/>
        <v>4.8500000000000005</v>
      </c>
      <c r="V101" s="99">
        <f t="shared" si="17"/>
        <v>18.382499999999997</v>
      </c>
      <c r="W101" s="99">
        <f t="shared" si="17"/>
        <v>0.1</v>
      </c>
      <c r="X101" s="99">
        <f t="shared" si="17"/>
        <v>13.274999999999993</v>
      </c>
      <c r="Y101" s="99">
        <f t="shared" si="17"/>
        <v>43.772062500000004</v>
      </c>
      <c r="Z101" s="99">
        <f t="shared" si="17"/>
        <v>1078.6781362499996</v>
      </c>
      <c r="AA101" s="88"/>
      <c r="AB101" s="93">
        <f>E101*12*2.34</f>
        <v>12944.137634999999</v>
      </c>
      <c r="AC101" s="93">
        <f>F101*10%*2.34*12</f>
        <v>483.9868799999997</v>
      </c>
      <c r="AD101" s="89"/>
      <c r="AE101" s="89"/>
      <c r="AF101" s="89"/>
    </row>
    <row r="102" spans="1:32" s="90" customFormat="1" x14ac:dyDescent="0.45">
      <c r="A102" s="86" t="s">
        <v>593</v>
      </c>
      <c r="B102" s="110" t="s">
        <v>594</v>
      </c>
      <c r="C102" s="67"/>
      <c r="D102" s="67"/>
      <c r="E102" s="97">
        <f t="shared" si="14"/>
        <v>10.625280000000002</v>
      </c>
      <c r="F102" s="97">
        <v>3.66</v>
      </c>
      <c r="G102" s="97">
        <f t="shared" ref="G102:G144" si="18">H102+I102+K102+M102+O102+P102+R102+T102+V102+W102</f>
        <v>5.8608000000000002</v>
      </c>
      <c r="H102" s="97">
        <v>0.7</v>
      </c>
      <c r="I102" s="97">
        <v>0.5</v>
      </c>
      <c r="J102" s="111"/>
      <c r="K102" s="99"/>
      <c r="L102" s="104">
        <v>0.7</v>
      </c>
      <c r="M102" s="104">
        <f>(F102+I102+K102)*L102</f>
        <v>2.9119999999999999</v>
      </c>
      <c r="N102" s="104"/>
      <c r="O102" s="104"/>
      <c r="P102" s="112">
        <v>1</v>
      </c>
      <c r="Q102" s="99"/>
      <c r="R102" s="99"/>
      <c r="S102" s="99"/>
      <c r="T102" s="113"/>
      <c r="U102" s="104">
        <v>0.18</v>
      </c>
      <c r="V102" s="104">
        <f t="shared" ref="V102:V113" si="19">(F102+I102+K102)*U102</f>
        <v>0.74880000000000002</v>
      </c>
      <c r="W102" s="113"/>
      <c r="X102" s="97">
        <v>0.22500000000000001</v>
      </c>
      <c r="Y102" s="97">
        <f t="shared" si="15"/>
        <v>1.1044800000000001</v>
      </c>
      <c r="Z102" s="98">
        <f>E102*2.34</f>
        <v>24.863155200000001</v>
      </c>
      <c r="AA102" s="114"/>
      <c r="AB102" s="89"/>
      <c r="AC102" s="89"/>
      <c r="AD102" s="89"/>
      <c r="AE102" s="89"/>
      <c r="AF102" s="89"/>
    </row>
    <row r="103" spans="1:32" s="90" customFormat="1" x14ac:dyDescent="0.45">
      <c r="A103" s="86" t="s">
        <v>595</v>
      </c>
      <c r="B103" s="110" t="s">
        <v>596</v>
      </c>
      <c r="C103" s="67"/>
      <c r="D103" s="67"/>
      <c r="E103" s="97">
        <f t="shared" si="14"/>
        <v>10.249067499999999</v>
      </c>
      <c r="F103" s="97">
        <v>3.66</v>
      </c>
      <c r="G103" s="97">
        <f t="shared" si="18"/>
        <v>5.4792999999999994</v>
      </c>
      <c r="H103" s="115">
        <v>0.7</v>
      </c>
      <c r="I103" s="97">
        <v>0.35</v>
      </c>
      <c r="J103" s="111"/>
      <c r="K103" s="99"/>
      <c r="L103" s="104">
        <v>0.7</v>
      </c>
      <c r="M103" s="104">
        <f t="shared" ref="M103:M141" si="20">(F103+I103+K103)*L103</f>
        <v>2.8069999999999995</v>
      </c>
      <c r="N103" s="104"/>
      <c r="O103" s="104"/>
      <c r="P103" s="112">
        <v>0.7</v>
      </c>
      <c r="Q103" s="99"/>
      <c r="R103" s="99"/>
      <c r="S103" s="99"/>
      <c r="T103" s="113"/>
      <c r="U103" s="104">
        <v>0.23</v>
      </c>
      <c r="V103" s="104">
        <f t="shared" si="19"/>
        <v>0.92230000000000001</v>
      </c>
      <c r="W103" s="113"/>
      <c r="X103" s="97">
        <v>0.22500000000000001</v>
      </c>
      <c r="Y103" s="97">
        <f t="shared" si="15"/>
        <v>1.1097675</v>
      </c>
      <c r="Z103" s="98">
        <f t="shared" ref="Z103:Z144" si="21">E103*2.34</f>
        <v>23.982817949999998</v>
      </c>
      <c r="AA103" s="114"/>
      <c r="AB103" s="89"/>
      <c r="AC103" s="89"/>
      <c r="AD103" s="89"/>
      <c r="AE103" s="89"/>
      <c r="AF103" s="89"/>
    </row>
    <row r="104" spans="1:32" s="90" customFormat="1" x14ac:dyDescent="0.45">
      <c r="A104" s="86" t="s">
        <v>597</v>
      </c>
      <c r="B104" s="18" t="s">
        <v>598</v>
      </c>
      <c r="C104" s="67"/>
      <c r="D104" s="67"/>
      <c r="E104" s="97">
        <f t="shared" si="14"/>
        <v>10.205209999999999</v>
      </c>
      <c r="F104" s="97">
        <v>3.66</v>
      </c>
      <c r="G104" s="97">
        <f t="shared" si="18"/>
        <v>5.4985999999999997</v>
      </c>
      <c r="H104" s="115">
        <v>0.7</v>
      </c>
      <c r="I104" s="115">
        <v>0.35</v>
      </c>
      <c r="J104" s="111"/>
      <c r="K104" s="99"/>
      <c r="L104" s="104">
        <v>0.7</v>
      </c>
      <c r="M104" s="104">
        <f t="shared" si="20"/>
        <v>2.8069999999999995</v>
      </c>
      <c r="N104" s="104"/>
      <c r="O104" s="104"/>
      <c r="P104" s="98">
        <v>1</v>
      </c>
      <c r="Q104" s="99"/>
      <c r="R104" s="99"/>
      <c r="S104" s="99"/>
      <c r="T104" s="113"/>
      <c r="U104" s="104">
        <v>0.16</v>
      </c>
      <c r="V104" s="104">
        <f t="shared" si="19"/>
        <v>0.64159999999999995</v>
      </c>
      <c r="W104" s="113"/>
      <c r="X104" s="97">
        <v>0.22500000000000001</v>
      </c>
      <c r="Y104" s="97">
        <f t="shared" si="15"/>
        <v>1.04661</v>
      </c>
      <c r="Z104" s="98">
        <f t="shared" si="21"/>
        <v>23.880191399999998</v>
      </c>
      <c r="AA104" s="114"/>
      <c r="AB104" s="89"/>
      <c r="AC104" s="89"/>
      <c r="AD104" s="89"/>
      <c r="AE104" s="89"/>
      <c r="AF104" s="89"/>
    </row>
    <row r="105" spans="1:32" s="90" customFormat="1" x14ac:dyDescent="0.45">
      <c r="A105" s="86" t="s">
        <v>599</v>
      </c>
      <c r="B105" s="110" t="s">
        <v>600</v>
      </c>
      <c r="C105" s="67"/>
      <c r="D105" s="67"/>
      <c r="E105" s="97">
        <f t="shared" si="14"/>
        <v>9.9816300000000009</v>
      </c>
      <c r="F105" s="97">
        <v>3.66</v>
      </c>
      <c r="G105" s="97">
        <f t="shared" si="18"/>
        <v>5.2968000000000002</v>
      </c>
      <c r="H105" s="115">
        <v>0.7</v>
      </c>
      <c r="I105" s="97">
        <v>0.2</v>
      </c>
      <c r="J105" s="97"/>
      <c r="K105" s="99"/>
      <c r="L105" s="104">
        <v>0.7</v>
      </c>
      <c r="M105" s="104">
        <f t="shared" si="20"/>
        <v>2.702</v>
      </c>
      <c r="N105" s="104"/>
      <c r="O105" s="104"/>
      <c r="P105" s="112">
        <v>1</v>
      </c>
      <c r="Q105" s="99"/>
      <c r="R105" s="99"/>
      <c r="S105" s="99"/>
      <c r="T105" s="113"/>
      <c r="U105" s="104">
        <v>0.18</v>
      </c>
      <c r="V105" s="104">
        <f t="shared" si="19"/>
        <v>0.69480000000000008</v>
      </c>
      <c r="W105" s="113"/>
      <c r="X105" s="97">
        <v>0.22500000000000001</v>
      </c>
      <c r="Y105" s="97">
        <f t="shared" si="15"/>
        <v>1.0248300000000001</v>
      </c>
      <c r="Z105" s="98">
        <f t="shared" si="21"/>
        <v>23.357014200000002</v>
      </c>
      <c r="AA105" s="114"/>
      <c r="AB105" s="89"/>
      <c r="AC105" s="89"/>
      <c r="AD105" s="89"/>
      <c r="AE105" s="89"/>
      <c r="AF105" s="89"/>
    </row>
    <row r="106" spans="1:32" s="90" customFormat="1" x14ac:dyDescent="0.45">
      <c r="A106" s="86" t="s">
        <v>601</v>
      </c>
      <c r="B106" s="110" t="s">
        <v>602</v>
      </c>
      <c r="C106" s="67"/>
      <c r="D106" s="67"/>
      <c r="E106" s="97">
        <f t="shared" si="14"/>
        <v>7.8152900000000001</v>
      </c>
      <c r="F106" s="97">
        <v>3.06</v>
      </c>
      <c r="G106" s="97">
        <f t="shared" si="18"/>
        <v>3.9703999999999997</v>
      </c>
      <c r="H106" s="97">
        <v>0.7</v>
      </c>
      <c r="I106" s="97"/>
      <c r="J106" s="111"/>
      <c r="K106" s="99"/>
      <c r="L106" s="104">
        <v>0.7</v>
      </c>
      <c r="M106" s="104">
        <f t="shared" si="20"/>
        <v>2.1419999999999999</v>
      </c>
      <c r="N106" s="104"/>
      <c r="O106" s="104"/>
      <c r="P106" s="112">
        <v>0.7</v>
      </c>
      <c r="Q106" s="99"/>
      <c r="R106" s="99"/>
      <c r="S106" s="99"/>
      <c r="T106" s="113"/>
      <c r="U106" s="104">
        <v>0.14000000000000001</v>
      </c>
      <c r="V106" s="104">
        <f t="shared" si="19"/>
        <v>0.42840000000000006</v>
      </c>
      <c r="W106" s="113"/>
      <c r="X106" s="97">
        <v>0.22500000000000001</v>
      </c>
      <c r="Y106" s="97">
        <f t="shared" si="15"/>
        <v>0.78488999999999998</v>
      </c>
      <c r="Z106" s="98">
        <f t="shared" si="21"/>
        <v>18.287778599999999</v>
      </c>
      <c r="AA106" s="114"/>
      <c r="AB106" s="89"/>
      <c r="AC106" s="89"/>
      <c r="AD106" s="89"/>
      <c r="AE106" s="89"/>
      <c r="AF106" s="89"/>
    </row>
    <row r="107" spans="1:32" s="90" customFormat="1" x14ac:dyDescent="0.45">
      <c r="A107" s="86" t="s">
        <v>603</v>
      </c>
      <c r="B107" s="116" t="s">
        <v>604</v>
      </c>
      <c r="C107" s="67"/>
      <c r="D107" s="67"/>
      <c r="E107" s="97">
        <f t="shared" si="14"/>
        <v>8.4023099999999999</v>
      </c>
      <c r="F107" s="97">
        <v>3.34</v>
      </c>
      <c r="G107" s="97">
        <f t="shared" si="18"/>
        <v>4.2055999999999996</v>
      </c>
      <c r="H107" s="97">
        <v>0.7</v>
      </c>
      <c r="I107" s="97"/>
      <c r="J107" s="111"/>
      <c r="K107" s="99"/>
      <c r="L107" s="104">
        <v>0.7</v>
      </c>
      <c r="M107" s="104">
        <f t="shared" si="20"/>
        <v>2.3379999999999996</v>
      </c>
      <c r="N107" s="104"/>
      <c r="O107" s="104"/>
      <c r="P107" s="112">
        <v>0.7</v>
      </c>
      <c r="Q107" s="99"/>
      <c r="R107" s="99"/>
      <c r="S107" s="99"/>
      <c r="T107" s="113"/>
      <c r="U107" s="104">
        <v>0.14000000000000001</v>
      </c>
      <c r="V107" s="104">
        <f t="shared" si="19"/>
        <v>0.46760000000000002</v>
      </c>
      <c r="W107" s="113"/>
      <c r="X107" s="97">
        <v>0.22500000000000001</v>
      </c>
      <c r="Y107" s="97">
        <f t="shared" si="15"/>
        <v>0.85670999999999997</v>
      </c>
      <c r="Z107" s="98">
        <f t="shared" si="21"/>
        <v>19.6614054</v>
      </c>
      <c r="AA107" s="114"/>
      <c r="AB107" s="89"/>
      <c r="AC107" s="89"/>
      <c r="AD107" s="89"/>
      <c r="AE107" s="89"/>
      <c r="AF107" s="89"/>
    </row>
    <row r="108" spans="1:32" s="90" customFormat="1" x14ac:dyDescent="0.45">
      <c r="A108" s="86" t="s">
        <v>605</v>
      </c>
      <c r="B108" s="116" t="s">
        <v>606</v>
      </c>
      <c r="C108" s="67"/>
      <c r="D108" s="67"/>
      <c r="E108" s="97">
        <f t="shared" si="14"/>
        <v>8.7432249999999989</v>
      </c>
      <c r="F108" s="97">
        <v>3.34</v>
      </c>
      <c r="G108" s="97">
        <f t="shared" si="18"/>
        <v>4.5389999999999997</v>
      </c>
      <c r="H108" s="97">
        <v>0.7</v>
      </c>
      <c r="I108" s="97"/>
      <c r="J108" s="111"/>
      <c r="K108" s="99"/>
      <c r="L108" s="104">
        <v>0.7</v>
      </c>
      <c r="M108" s="104">
        <f t="shared" si="20"/>
        <v>2.3379999999999996</v>
      </c>
      <c r="N108" s="104"/>
      <c r="O108" s="104"/>
      <c r="P108" s="112">
        <v>1</v>
      </c>
      <c r="Q108" s="99"/>
      <c r="R108" s="99"/>
      <c r="S108" s="99"/>
      <c r="T108" s="113"/>
      <c r="U108" s="104">
        <v>0.15</v>
      </c>
      <c r="V108" s="104">
        <f t="shared" si="19"/>
        <v>0.501</v>
      </c>
      <c r="W108" s="113"/>
      <c r="X108" s="97">
        <v>0.22500000000000001</v>
      </c>
      <c r="Y108" s="97">
        <f t="shared" si="15"/>
        <v>0.86422499999999991</v>
      </c>
      <c r="Z108" s="98">
        <f t="shared" si="21"/>
        <v>20.459146499999996</v>
      </c>
      <c r="AA108" s="114"/>
      <c r="AB108" s="89"/>
      <c r="AC108" s="89"/>
      <c r="AD108" s="89"/>
      <c r="AE108" s="89"/>
      <c r="AF108" s="89"/>
    </row>
    <row r="109" spans="1:32" s="90" customFormat="1" x14ac:dyDescent="0.45">
      <c r="A109" s="86" t="s">
        <v>607</v>
      </c>
      <c r="B109" s="116" t="s">
        <v>608</v>
      </c>
      <c r="C109" s="67"/>
      <c r="D109" s="67"/>
      <c r="E109" s="97">
        <f t="shared" si="14"/>
        <v>9.6204999999999998</v>
      </c>
      <c r="F109" s="115">
        <v>3.65</v>
      </c>
      <c r="G109" s="97">
        <f t="shared" si="18"/>
        <v>4.9849999999999994</v>
      </c>
      <c r="H109" s="97">
        <v>0.7</v>
      </c>
      <c r="I109" s="97"/>
      <c r="J109" s="111"/>
      <c r="K109" s="99"/>
      <c r="L109" s="104">
        <v>0.7</v>
      </c>
      <c r="M109" s="104">
        <f t="shared" si="20"/>
        <v>2.5549999999999997</v>
      </c>
      <c r="N109" s="104"/>
      <c r="O109" s="104"/>
      <c r="P109" s="98">
        <v>1</v>
      </c>
      <c r="Q109" s="99"/>
      <c r="R109" s="99"/>
      <c r="S109" s="99"/>
      <c r="T109" s="113"/>
      <c r="U109" s="104">
        <v>0.2</v>
      </c>
      <c r="V109" s="104">
        <f t="shared" si="19"/>
        <v>0.73</v>
      </c>
      <c r="W109" s="113"/>
      <c r="X109" s="97">
        <v>0.22500000000000001</v>
      </c>
      <c r="Y109" s="97">
        <f t="shared" si="15"/>
        <v>0.98550000000000004</v>
      </c>
      <c r="Z109" s="98">
        <f t="shared" si="21"/>
        <v>22.511969999999998</v>
      </c>
      <c r="AA109" s="114"/>
      <c r="AB109" s="89"/>
      <c r="AC109" s="89"/>
      <c r="AD109" s="89"/>
      <c r="AE109" s="89"/>
      <c r="AF109" s="89"/>
    </row>
    <row r="110" spans="1:32" s="90" customFormat="1" x14ac:dyDescent="0.45">
      <c r="A110" s="86" t="s">
        <v>609</v>
      </c>
      <c r="B110" s="116" t="s">
        <v>610</v>
      </c>
      <c r="C110" s="67"/>
      <c r="D110" s="67"/>
      <c r="E110" s="97">
        <f t="shared" si="14"/>
        <v>8.2181750000000005</v>
      </c>
      <c r="F110" s="115">
        <v>3.33</v>
      </c>
      <c r="G110" s="97">
        <f t="shared" si="18"/>
        <v>4.0640000000000001</v>
      </c>
      <c r="H110" s="97">
        <v>0.7</v>
      </c>
      <c r="I110" s="97"/>
      <c r="J110" s="111"/>
      <c r="K110" s="99"/>
      <c r="L110" s="104">
        <v>0.7</v>
      </c>
      <c r="M110" s="104">
        <f t="shared" si="20"/>
        <v>2.331</v>
      </c>
      <c r="N110" s="104"/>
      <c r="O110" s="104"/>
      <c r="P110" s="98">
        <v>0.7</v>
      </c>
      <c r="Q110" s="99"/>
      <c r="R110" s="99"/>
      <c r="S110" s="99"/>
      <c r="T110" s="113"/>
      <c r="U110" s="104">
        <v>0.1</v>
      </c>
      <c r="V110" s="104">
        <f t="shared" si="19"/>
        <v>0.33300000000000002</v>
      </c>
      <c r="W110" s="113"/>
      <c r="X110" s="97">
        <v>0.22500000000000001</v>
      </c>
      <c r="Y110" s="97">
        <f t="shared" si="15"/>
        <v>0.8241750000000001</v>
      </c>
      <c r="Z110" s="98">
        <f t="shared" si="21"/>
        <v>19.230529499999999</v>
      </c>
      <c r="AA110" s="114" t="s">
        <v>611</v>
      </c>
      <c r="AB110" s="89"/>
      <c r="AC110" s="89"/>
      <c r="AD110" s="89"/>
      <c r="AE110" s="89"/>
      <c r="AF110" s="89"/>
    </row>
    <row r="111" spans="1:32" s="90" customFormat="1" x14ac:dyDescent="0.45">
      <c r="A111" s="86" t="s">
        <v>612</v>
      </c>
      <c r="B111" s="116" t="s">
        <v>613</v>
      </c>
      <c r="C111" s="67"/>
      <c r="D111" s="67"/>
      <c r="E111" s="97">
        <f t="shared" si="14"/>
        <v>8.1547800000000006</v>
      </c>
      <c r="F111" s="97">
        <v>3.33</v>
      </c>
      <c r="G111" s="97">
        <f t="shared" si="18"/>
        <v>3.9948000000000001</v>
      </c>
      <c r="H111" s="97">
        <v>0.7</v>
      </c>
      <c r="I111" s="97">
        <v>0.15</v>
      </c>
      <c r="J111" s="111"/>
      <c r="K111" s="99"/>
      <c r="L111" s="104">
        <v>0.7</v>
      </c>
      <c r="M111" s="104">
        <f t="shared" si="20"/>
        <v>2.4359999999999999</v>
      </c>
      <c r="N111" s="104"/>
      <c r="O111" s="104"/>
      <c r="P111" s="112">
        <v>0.5</v>
      </c>
      <c r="Q111" s="99"/>
      <c r="R111" s="99"/>
      <c r="S111" s="99"/>
      <c r="T111" s="113"/>
      <c r="U111" s="104">
        <v>0.06</v>
      </c>
      <c r="V111" s="104">
        <f t="shared" si="19"/>
        <v>0.20879999999999999</v>
      </c>
      <c r="W111" s="113"/>
      <c r="X111" s="97">
        <v>0.22500000000000001</v>
      </c>
      <c r="Y111" s="97">
        <f t="shared" si="15"/>
        <v>0.82998000000000005</v>
      </c>
      <c r="Z111" s="98">
        <f t="shared" si="21"/>
        <v>19.082185200000001</v>
      </c>
      <c r="AA111" s="114"/>
      <c r="AB111" s="89"/>
      <c r="AC111" s="89"/>
      <c r="AD111" s="89"/>
      <c r="AE111" s="89"/>
      <c r="AF111" s="89"/>
    </row>
    <row r="112" spans="1:32" s="90" customFormat="1" x14ac:dyDescent="0.45">
      <c r="A112" s="86" t="s">
        <v>614</v>
      </c>
      <c r="B112" s="116" t="s">
        <v>615</v>
      </c>
      <c r="C112" s="67"/>
      <c r="D112" s="67"/>
      <c r="E112" s="97">
        <f t="shared" si="14"/>
        <v>6.5032875000000008</v>
      </c>
      <c r="F112" s="97">
        <v>2.67</v>
      </c>
      <c r="G112" s="97">
        <f t="shared" si="18"/>
        <v>3.2025000000000001</v>
      </c>
      <c r="H112" s="97">
        <v>0.7</v>
      </c>
      <c r="I112" s="97"/>
      <c r="J112" s="111"/>
      <c r="K112" s="99"/>
      <c r="L112" s="104">
        <v>0.7</v>
      </c>
      <c r="M112" s="104">
        <f t="shared" si="20"/>
        <v>1.8689999999999998</v>
      </c>
      <c r="N112" s="104"/>
      <c r="O112" s="104"/>
      <c r="P112" s="112">
        <v>0.5</v>
      </c>
      <c r="Q112" s="99"/>
      <c r="R112" s="99"/>
      <c r="S112" s="99"/>
      <c r="T112" s="113"/>
      <c r="U112" s="104">
        <v>0.05</v>
      </c>
      <c r="V112" s="104">
        <f t="shared" si="19"/>
        <v>0.13350000000000001</v>
      </c>
      <c r="W112" s="113"/>
      <c r="X112" s="97">
        <v>0.22500000000000001</v>
      </c>
      <c r="Y112" s="97">
        <f t="shared" si="15"/>
        <v>0.63078750000000006</v>
      </c>
      <c r="Z112" s="98">
        <f t="shared" si="21"/>
        <v>15.217692750000001</v>
      </c>
      <c r="AA112" s="114"/>
      <c r="AB112" s="89"/>
      <c r="AC112" s="89"/>
      <c r="AD112" s="89"/>
      <c r="AE112" s="89"/>
      <c r="AF112" s="89"/>
    </row>
    <row r="113" spans="1:32" s="90" customFormat="1" x14ac:dyDescent="0.45">
      <c r="A113" s="86" t="s">
        <v>616</v>
      </c>
      <c r="B113" s="116" t="s">
        <v>617</v>
      </c>
      <c r="C113" s="67"/>
      <c r="D113" s="67"/>
      <c r="E113" s="97">
        <f t="shared" si="14"/>
        <v>6.9708524999999995</v>
      </c>
      <c r="F113" s="97">
        <f>2.41+0.31</f>
        <v>2.72</v>
      </c>
      <c r="G113" s="97">
        <f t="shared" si="18"/>
        <v>3.5598999999999998</v>
      </c>
      <c r="H113" s="97">
        <v>0.7</v>
      </c>
      <c r="I113" s="97">
        <v>0.15</v>
      </c>
      <c r="J113" s="111"/>
      <c r="K113" s="99"/>
      <c r="L113" s="104">
        <v>0.7</v>
      </c>
      <c r="M113" s="104">
        <f t="shared" si="20"/>
        <v>2.0089999999999999</v>
      </c>
      <c r="N113" s="104"/>
      <c r="O113" s="104"/>
      <c r="P113" s="112">
        <v>0.5</v>
      </c>
      <c r="Q113" s="99"/>
      <c r="R113" s="99"/>
      <c r="S113" s="99"/>
      <c r="T113" s="113"/>
      <c r="U113" s="104">
        <v>7.0000000000000007E-2</v>
      </c>
      <c r="V113" s="104">
        <f t="shared" si="19"/>
        <v>0.20090000000000002</v>
      </c>
      <c r="W113" s="113"/>
      <c r="X113" s="97">
        <v>0.22500000000000001</v>
      </c>
      <c r="Y113" s="97">
        <f t="shared" si="15"/>
        <v>0.69095249999999997</v>
      </c>
      <c r="Z113" s="98">
        <f t="shared" si="21"/>
        <v>16.311794849999998</v>
      </c>
      <c r="AA113" s="114"/>
      <c r="AB113" s="89"/>
      <c r="AC113" s="89"/>
      <c r="AD113" s="89"/>
      <c r="AE113" s="89"/>
      <c r="AF113" s="89"/>
    </row>
    <row r="114" spans="1:32" s="90" customFormat="1" x14ac:dyDescent="0.45">
      <c r="A114" s="86" t="s">
        <v>618</v>
      </c>
      <c r="B114" s="110" t="s">
        <v>619</v>
      </c>
      <c r="C114" s="67"/>
      <c r="D114" s="67"/>
      <c r="E114" s="97">
        <f t="shared" si="14"/>
        <v>7.5512500000000005</v>
      </c>
      <c r="F114" s="97">
        <v>2.41</v>
      </c>
      <c r="G114" s="97">
        <f t="shared" si="18"/>
        <v>4.5540000000000003</v>
      </c>
      <c r="H114" s="97">
        <v>0.7</v>
      </c>
      <c r="I114" s="97">
        <v>0.2</v>
      </c>
      <c r="J114" s="111"/>
      <c r="K114" s="99"/>
      <c r="L114" s="104">
        <v>0.7</v>
      </c>
      <c r="M114" s="104">
        <f t="shared" si="20"/>
        <v>1.8270000000000002</v>
      </c>
      <c r="N114" s="104">
        <v>0.7</v>
      </c>
      <c r="O114" s="104">
        <f>N114*(F114+I114+K114)</f>
        <v>1.8270000000000002</v>
      </c>
      <c r="P114" s="112"/>
      <c r="Q114" s="99"/>
      <c r="R114" s="99"/>
      <c r="S114" s="99"/>
      <c r="T114" s="113"/>
      <c r="U114" s="117"/>
      <c r="V114" s="104"/>
      <c r="W114" s="113"/>
      <c r="X114" s="97">
        <v>0.22500000000000001</v>
      </c>
      <c r="Y114" s="97">
        <f t="shared" si="15"/>
        <v>0.58725000000000005</v>
      </c>
      <c r="Z114" s="98">
        <f t="shared" si="21"/>
        <v>17.669924999999999</v>
      </c>
      <c r="AA114" s="114"/>
      <c r="AB114" s="89"/>
      <c r="AC114" s="89"/>
      <c r="AD114" s="89"/>
      <c r="AE114" s="89"/>
      <c r="AF114" s="89"/>
    </row>
    <row r="115" spans="1:32" s="90" customFormat="1" x14ac:dyDescent="0.45">
      <c r="A115" s="86" t="s">
        <v>620</v>
      </c>
      <c r="B115" s="110" t="s">
        <v>621</v>
      </c>
      <c r="C115" s="67"/>
      <c r="D115" s="67"/>
      <c r="E115" s="97">
        <f t="shared" si="14"/>
        <v>6.8875249999999992</v>
      </c>
      <c r="F115" s="97">
        <v>2.46</v>
      </c>
      <c r="G115" s="97">
        <f t="shared" si="18"/>
        <v>3.7909999999999995</v>
      </c>
      <c r="H115" s="97">
        <v>0.7</v>
      </c>
      <c r="I115" s="97"/>
      <c r="J115" s="111"/>
      <c r="K115" s="99"/>
      <c r="L115" s="104">
        <v>0.7</v>
      </c>
      <c r="M115" s="104">
        <f t="shared" si="20"/>
        <v>1.722</v>
      </c>
      <c r="N115" s="104"/>
      <c r="O115" s="104"/>
      <c r="P115" s="98">
        <v>1</v>
      </c>
      <c r="Q115" s="99"/>
      <c r="R115" s="99"/>
      <c r="S115" s="99"/>
      <c r="T115" s="113"/>
      <c r="U115" s="104">
        <v>0.15</v>
      </c>
      <c r="V115" s="104">
        <f>(F115+I115+K115)*U115</f>
        <v>0.36899999999999999</v>
      </c>
      <c r="W115" s="113"/>
      <c r="X115" s="97">
        <v>0.22500000000000001</v>
      </c>
      <c r="Y115" s="97">
        <f t="shared" si="15"/>
        <v>0.63652500000000001</v>
      </c>
      <c r="Z115" s="98">
        <f t="shared" si="21"/>
        <v>16.116808499999998</v>
      </c>
      <c r="AA115" s="114"/>
      <c r="AB115" s="89"/>
      <c r="AC115" s="89"/>
      <c r="AD115" s="89"/>
      <c r="AE115" s="89"/>
      <c r="AF115" s="89"/>
    </row>
    <row r="116" spans="1:32" s="90" customFormat="1" x14ac:dyDescent="0.45">
      <c r="A116" s="86" t="s">
        <v>622</v>
      </c>
      <c r="B116" s="110" t="s">
        <v>623</v>
      </c>
      <c r="C116" s="67"/>
      <c r="D116" s="67"/>
      <c r="E116" s="97">
        <f t="shared" si="14"/>
        <v>8.6613949999999988</v>
      </c>
      <c r="F116" s="97">
        <f>3.03+0.31</f>
        <v>3.34</v>
      </c>
      <c r="G116" s="97">
        <f t="shared" si="18"/>
        <v>4.4721999999999991</v>
      </c>
      <c r="H116" s="97">
        <v>0.7</v>
      </c>
      <c r="I116" s="97"/>
      <c r="J116" s="111"/>
      <c r="K116" s="99"/>
      <c r="L116" s="104">
        <v>0.7</v>
      </c>
      <c r="M116" s="104">
        <f t="shared" si="20"/>
        <v>2.3379999999999996</v>
      </c>
      <c r="N116" s="104"/>
      <c r="O116" s="104"/>
      <c r="P116" s="98">
        <v>1</v>
      </c>
      <c r="Q116" s="99"/>
      <c r="R116" s="99"/>
      <c r="S116" s="99"/>
      <c r="T116" s="113"/>
      <c r="U116" s="104">
        <v>0.13</v>
      </c>
      <c r="V116" s="104">
        <f>(F116+I116+K116)*U116</f>
        <v>0.43419999999999997</v>
      </c>
      <c r="W116" s="113"/>
      <c r="X116" s="97">
        <v>0.22500000000000001</v>
      </c>
      <c r="Y116" s="97">
        <f t="shared" si="15"/>
        <v>0.84919500000000003</v>
      </c>
      <c r="Z116" s="98">
        <f t="shared" si="21"/>
        <v>20.267664299999996</v>
      </c>
      <c r="AA116" s="114"/>
      <c r="AB116" s="89"/>
      <c r="AC116" s="89"/>
      <c r="AD116" s="89"/>
      <c r="AE116" s="89"/>
      <c r="AF116" s="89"/>
    </row>
    <row r="117" spans="1:32" s="90" customFormat="1" x14ac:dyDescent="0.45">
      <c r="A117" s="86" t="s">
        <v>624</v>
      </c>
      <c r="B117" s="110" t="s">
        <v>625</v>
      </c>
      <c r="C117" s="67"/>
      <c r="D117" s="67"/>
      <c r="E117" s="97">
        <f t="shared" si="14"/>
        <v>9.6204999999999998</v>
      </c>
      <c r="F117" s="97">
        <v>3.65</v>
      </c>
      <c r="G117" s="97">
        <f t="shared" si="18"/>
        <v>4.9849999999999994</v>
      </c>
      <c r="H117" s="97">
        <v>0.7</v>
      </c>
      <c r="I117" s="97"/>
      <c r="J117" s="111"/>
      <c r="K117" s="99"/>
      <c r="L117" s="104">
        <v>0.7</v>
      </c>
      <c r="M117" s="104">
        <f t="shared" si="20"/>
        <v>2.5549999999999997</v>
      </c>
      <c r="N117" s="104"/>
      <c r="O117" s="104"/>
      <c r="P117" s="98">
        <v>1</v>
      </c>
      <c r="Q117" s="99"/>
      <c r="R117" s="99"/>
      <c r="S117" s="99"/>
      <c r="T117" s="113"/>
      <c r="U117" s="104">
        <v>0.2</v>
      </c>
      <c r="V117" s="104">
        <f>(F117+I117+K117)*U117</f>
        <v>0.73</v>
      </c>
      <c r="W117" s="113"/>
      <c r="X117" s="97">
        <v>0.22500000000000001</v>
      </c>
      <c r="Y117" s="97">
        <f t="shared" si="15"/>
        <v>0.98550000000000004</v>
      </c>
      <c r="Z117" s="98">
        <f t="shared" si="21"/>
        <v>22.511969999999998</v>
      </c>
      <c r="AA117" s="114"/>
      <c r="AB117" s="89"/>
      <c r="AC117" s="89"/>
      <c r="AD117" s="89"/>
      <c r="AE117" s="89"/>
      <c r="AF117" s="89"/>
    </row>
    <row r="118" spans="1:32" s="90" customFormat="1" x14ac:dyDescent="0.45">
      <c r="A118" s="86" t="s">
        <v>626</v>
      </c>
      <c r="B118" s="110" t="s">
        <v>627</v>
      </c>
      <c r="C118" s="67"/>
      <c r="D118" s="67"/>
      <c r="E118" s="97">
        <f t="shared" si="14"/>
        <v>7.6410424999999993</v>
      </c>
      <c r="F118" s="97">
        <v>3.03</v>
      </c>
      <c r="G118" s="97">
        <f t="shared" si="18"/>
        <v>3.8542999999999998</v>
      </c>
      <c r="H118" s="97">
        <v>0.7</v>
      </c>
      <c r="I118" s="97"/>
      <c r="J118" s="111"/>
      <c r="K118" s="99"/>
      <c r="L118" s="104">
        <v>0.7</v>
      </c>
      <c r="M118" s="104">
        <f t="shared" si="20"/>
        <v>2.1209999999999996</v>
      </c>
      <c r="N118" s="104"/>
      <c r="O118" s="104"/>
      <c r="P118" s="98">
        <v>0.7</v>
      </c>
      <c r="Q118" s="99"/>
      <c r="R118" s="99"/>
      <c r="S118" s="99"/>
      <c r="T118" s="113"/>
      <c r="U118" s="104">
        <v>0.11</v>
      </c>
      <c r="V118" s="104">
        <f>(F118+I118+K118)*U118</f>
        <v>0.33329999999999999</v>
      </c>
      <c r="W118" s="113"/>
      <c r="X118" s="97">
        <v>0.22500000000000001</v>
      </c>
      <c r="Y118" s="97">
        <f t="shared" si="15"/>
        <v>0.75674249999999998</v>
      </c>
      <c r="Z118" s="98">
        <f t="shared" si="21"/>
        <v>17.880039449999998</v>
      </c>
      <c r="AA118" s="114"/>
      <c r="AB118" s="89"/>
      <c r="AC118" s="89"/>
      <c r="AD118" s="89"/>
      <c r="AE118" s="89"/>
      <c r="AF118" s="89"/>
    </row>
    <row r="119" spans="1:32" s="90" customFormat="1" x14ac:dyDescent="0.45">
      <c r="A119" s="86" t="s">
        <v>628</v>
      </c>
      <c r="B119" s="110" t="s">
        <v>629</v>
      </c>
      <c r="C119" s="67"/>
      <c r="D119" s="67"/>
      <c r="E119" s="97">
        <f t="shared" si="14"/>
        <v>8.2337500000000006</v>
      </c>
      <c r="F119" s="97">
        <f>2.41+0.31</f>
        <v>2.72</v>
      </c>
      <c r="G119" s="97">
        <f t="shared" si="18"/>
        <v>4.8680000000000003</v>
      </c>
      <c r="H119" s="97">
        <v>0.7</v>
      </c>
      <c r="I119" s="97">
        <v>0.15</v>
      </c>
      <c r="J119" s="111"/>
      <c r="K119" s="99"/>
      <c r="L119" s="104">
        <v>0.7</v>
      </c>
      <c r="M119" s="104">
        <f t="shared" si="20"/>
        <v>2.0089999999999999</v>
      </c>
      <c r="N119" s="104">
        <v>0.7</v>
      </c>
      <c r="O119" s="104">
        <f>N119*(F119+I119+K119)</f>
        <v>2.0089999999999999</v>
      </c>
      <c r="P119" s="98"/>
      <c r="Q119" s="99"/>
      <c r="R119" s="99"/>
      <c r="S119" s="99"/>
      <c r="T119" s="113"/>
      <c r="U119" s="104"/>
      <c r="V119" s="104"/>
      <c r="W119" s="113"/>
      <c r="X119" s="97">
        <v>0.22500000000000001</v>
      </c>
      <c r="Y119" s="97">
        <f t="shared" si="15"/>
        <v>0.64575000000000005</v>
      </c>
      <c r="Z119" s="98">
        <f t="shared" si="21"/>
        <v>19.266974999999999</v>
      </c>
      <c r="AA119" s="114"/>
      <c r="AB119" s="89"/>
      <c r="AC119" s="89"/>
      <c r="AD119" s="89"/>
      <c r="AE119" s="89"/>
      <c r="AF119" s="89"/>
    </row>
    <row r="120" spans="1:32" s="90" customFormat="1" x14ac:dyDescent="0.45">
      <c r="A120" s="86" t="s">
        <v>630</v>
      </c>
      <c r="B120" s="118" t="s">
        <v>631</v>
      </c>
      <c r="C120" s="67"/>
      <c r="D120" s="67"/>
      <c r="E120" s="97">
        <f t="shared" si="14"/>
        <v>12.494640000000002</v>
      </c>
      <c r="F120" s="97">
        <v>4.9800000000000004</v>
      </c>
      <c r="G120" s="97">
        <f t="shared" si="18"/>
        <v>6.0804</v>
      </c>
      <c r="H120" s="97">
        <v>0.7</v>
      </c>
      <c r="I120" s="97"/>
      <c r="J120" s="111"/>
      <c r="K120" s="99"/>
      <c r="L120" s="104">
        <v>0.7</v>
      </c>
      <c r="M120" s="104">
        <f t="shared" si="20"/>
        <v>3.4860000000000002</v>
      </c>
      <c r="N120" s="104"/>
      <c r="O120" s="104"/>
      <c r="P120" s="98">
        <v>0.5</v>
      </c>
      <c r="Q120" s="99"/>
      <c r="R120" s="99"/>
      <c r="S120" s="99"/>
      <c r="T120" s="113"/>
      <c r="U120" s="104">
        <v>0.28000000000000003</v>
      </c>
      <c r="V120" s="104">
        <f>(F120+I120+K120)*U120</f>
        <v>1.3944000000000003</v>
      </c>
      <c r="W120" s="113"/>
      <c r="X120" s="97">
        <v>0.22500000000000001</v>
      </c>
      <c r="Y120" s="97">
        <f t="shared" si="15"/>
        <v>1.4342400000000002</v>
      </c>
      <c r="Z120" s="98">
        <f t="shared" si="21"/>
        <v>29.237457600000003</v>
      </c>
      <c r="AA120" s="114"/>
      <c r="AB120" s="89"/>
      <c r="AC120" s="89"/>
      <c r="AD120" s="89"/>
      <c r="AE120" s="89"/>
      <c r="AF120" s="89"/>
    </row>
    <row r="121" spans="1:32" s="90" customFormat="1" x14ac:dyDescent="0.45">
      <c r="A121" s="86" t="s">
        <v>632</v>
      </c>
      <c r="B121" s="110" t="s">
        <v>633</v>
      </c>
      <c r="C121" s="67"/>
      <c r="D121" s="67"/>
      <c r="E121" s="97">
        <f t="shared" si="14"/>
        <v>6.702560000000001</v>
      </c>
      <c r="F121" s="97">
        <v>2.72</v>
      </c>
      <c r="G121" s="97">
        <f t="shared" si="18"/>
        <v>3.3216000000000001</v>
      </c>
      <c r="H121" s="97">
        <v>0.7</v>
      </c>
      <c r="I121" s="97"/>
      <c r="J121" s="111"/>
      <c r="K121" s="99"/>
      <c r="L121" s="104">
        <v>0.7</v>
      </c>
      <c r="M121" s="104">
        <f t="shared" si="20"/>
        <v>1.9039999999999999</v>
      </c>
      <c r="N121" s="104"/>
      <c r="O121" s="104"/>
      <c r="P121" s="98">
        <v>0.5</v>
      </c>
      <c r="Q121" s="99"/>
      <c r="R121" s="99"/>
      <c r="S121" s="99"/>
      <c r="T121" s="113"/>
      <c r="U121" s="104">
        <v>0.08</v>
      </c>
      <c r="V121" s="104">
        <f>(F121+I121+K121)*U121</f>
        <v>0.21760000000000002</v>
      </c>
      <c r="W121" s="113"/>
      <c r="X121" s="97">
        <v>0.22500000000000001</v>
      </c>
      <c r="Y121" s="97">
        <f t="shared" si="15"/>
        <v>0.6609600000000001</v>
      </c>
      <c r="Z121" s="98">
        <f t="shared" si="21"/>
        <v>15.683990400000001</v>
      </c>
      <c r="AA121" s="114"/>
      <c r="AB121" s="89"/>
      <c r="AC121" s="89"/>
      <c r="AD121" s="89"/>
      <c r="AE121" s="89"/>
      <c r="AF121" s="89"/>
    </row>
    <row r="122" spans="1:32" s="90" customFormat="1" x14ac:dyDescent="0.45">
      <c r="A122" s="86" t="s">
        <v>634</v>
      </c>
      <c r="B122" s="110" t="s">
        <v>635</v>
      </c>
      <c r="C122" s="67"/>
      <c r="D122" s="67"/>
      <c r="E122" s="97">
        <f t="shared" si="14"/>
        <v>9.6422000000000008</v>
      </c>
      <c r="F122" s="97">
        <v>3.66</v>
      </c>
      <c r="G122" s="97">
        <f t="shared" si="18"/>
        <v>4.9939999999999998</v>
      </c>
      <c r="H122" s="97">
        <v>0.7</v>
      </c>
      <c r="I122" s="97"/>
      <c r="J122" s="111"/>
      <c r="K122" s="99"/>
      <c r="L122" s="104">
        <v>0.7</v>
      </c>
      <c r="M122" s="104">
        <f t="shared" si="20"/>
        <v>2.5619999999999998</v>
      </c>
      <c r="N122" s="104"/>
      <c r="O122" s="104"/>
      <c r="P122" s="98">
        <v>1</v>
      </c>
      <c r="Q122" s="99"/>
      <c r="R122" s="99"/>
      <c r="S122" s="99"/>
      <c r="T122" s="113"/>
      <c r="U122" s="104">
        <v>0.2</v>
      </c>
      <c r="V122" s="104">
        <f>(F122+I122+K122)*U122</f>
        <v>0.7320000000000001</v>
      </c>
      <c r="W122" s="113"/>
      <c r="X122" s="97">
        <v>0.22500000000000001</v>
      </c>
      <c r="Y122" s="97">
        <f t="shared" si="15"/>
        <v>0.98820000000000008</v>
      </c>
      <c r="Z122" s="98">
        <f t="shared" si="21"/>
        <v>22.562747999999999</v>
      </c>
      <c r="AA122" s="114"/>
      <c r="AB122" s="89"/>
      <c r="AC122" s="89"/>
      <c r="AD122" s="89"/>
      <c r="AE122" s="89"/>
      <c r="AF122" s="89"/>
    </row>
    <row r="123" spans="1:32" s="90" customFormat="1" x14ac:dyDescent="0.45">
      <c r="A123" s="86" t="s">
        <v>636</v>
      </c>
      <c r="B123" s="110" t="s">
        <v>637</v>
      </c>
      <c r="C123" s="67"/>
      <c r="D123" s="67"/>
      <c r="E123" s="97">
        <f t="shared" si="14"/>
        <v>8.7432249999999989</v>
      </c>
      <c r="F123" s="97">
        <v>3.34</v>
      </c>
      <c r="G123" s="97">
        <f t="shared" si="18"/>
        <v>4.5389999999999997</v>
      </c>
      <c r="H123" s="97">
        <v>0.7</v>
      </c>
      <c r="I123" s="97"/>
      <c r="J123" s="111"/>
      <c r="K123" s="99"/>
      <c r="L123" s="104">
        <v>0.7</v>
      </c>
      <c r="M123" s="104">
        <f t="shared" si="20"/>
        <v>2.3379999999999996</v>
      </c>
      <c r="N123" s="104"/>
      <c r="O123" s="104"/>
      <c r="P123" s="98">
        <v>1</v>
      </c>
      <c r="Q123" s="99"/>
      <c r="R123" s="99"/>
      <c r="S123" s="99"/>
      <c r="T123" s="113"/>
      <c r="U123" s="104">
        <v>0.15</v>
      </c>
      <c r="V123" s="104">
        <f>(F123+I123+K123)*U123</f>
        <v>0.501</v>
      </c>
      <c r="W123" s="113"/>
      <c r="X123" s="97">
        <v>0.22500000000000001</v>
      </c>
      <c r="Y123" s="97">
        <f t="shared" si="15"/>
        <v>0.86422499999999991</v>
      </c>
      <c r="Z123" s="98">
        <f t="shared" si="21"/>
        <v>20.459146499999996</v>
      </c>
      <c r="AA123" s="114"/>
      <c r="AB123" s="89"/>
      <c r="AC123" s="89"/>
      <c r="AD123" s="89"/>
      <c r="AE123" s="89"/>
      <c r="AF123" s="89"/>
    </row>
    <row r="124" spans="1:32" s="90" customFormat="1" x14ac:dyDescent="0.45">
      <c r="A124" s="86" t="s">
        <v>638</v>
      </c>
      <c r="B124" s="110" t="s">
        <v>639</v>
      </c>
      <c r="C124" s="67"/>
      <c r="D124" s="67"/>
      <c r="E124" s="97">
        <f t="shared" si="14"/>
        <v>6.2125000000000004</v>
      </c>
      <c r="F124" s="97">
        <v>2.1</v>
      </c>
      <c r="G124" s="97">
        <f t="shared" si="18"/>
        <v>3.6399999999999997</v>
      </c>
      <c r="H124" s="97">
        <v>0.7</v>
      </c>
      <c r="I124" s="97"/>
      <c r="J124" s="111"/>
      <c r="K124" s="99"/>
      <c r="L124" s="104">
        <v>0.7</v>
      </c>
      <c r="M124" s="104">
        <f t="shared" si="20"/>
        <v>1.47</v>
      </c>
      <c r="N124" s="104">
        <v>0.7</v>
      </c>
      <c r="O124" s="104">
        <f t="shared" ref="O124:O141" si="22">N124*(F124+I124+K124)</f>
        <v>1.47</v>
      </c>
      <c r="P124" s="98"/>
      <c r="Q124" s="99"/>
      <c r="R124" s="99"/>
      <c r="S124" s="99"/>
      <c r="T124" s="113"/>
      <c r="U124" s="117"/>
      <c r="V124" s="104"/>
      <c r="W124" s="113"/>
      <c r="X124" s="97">
        <v>0.22500000000000001</v>
      </c>
      <c r="Y124" s="97">
        <f t="shared" si="15"/>
        <v>0.47250000000000003</v>
      </c>
      <c r="Z124" s="98">
        <f t="shared" si="21"/>
        <v>14.53725</v>
      </c>
      <c r="AA124" s="114"/>
      <c r="AB124" s="89"/>
      <c r="AC124" s="89"/>
      <c r="AD124" s="89"/>
      <c r="AE124" s="89"/>
      <c r="AF124" s="89"/>
    </row>
    <row r="125" spans="1:32" s="90" customFormat="1" x14ac:dyDescent="0.45">
      <c r="A125" s="86" t="s">
        <v>640</v>
      </c>
      <c r="B125" s="110" t="s">
        <v>641</v>
      </c>
      <c r="C125" s="67"/>
      <c r="D125" s="67"/>
      <c r="E125" s="97">
        <f t="shared" si="14"/>
        <v>6.2125000000000004</v>
      </c>
      <c r="F125" s="97">
        <v>2.1</v>
      </c>
      <c r="G125" s="97">
        <f t="shared" si="18"/>
        <v>3.6399999999999997</v>
      </c>
      <c r="H125" s="97">
        <v>0.7</v>
      </c>
      <c r="I125" s="97"/>
      <c r="J125" s="111"/>
      <c r="K125" s="99"/>
      <c r="L125" s="104">
        <v>0.7</v>
      </c>
      <c r="M125" s="104">
        <f t="shared" si="20"/>
        <v>1.47</v>
      </c>
      <c r="N125" s="104">
        <v>0.7</v>
      </c>
      <c r="O125" s="104">
        <f t="shared" si="22"/>
        <v>1.47</v>
      </c>
      <c r="P125" s="98"/>
      <c r="Q125" s="99"/>
      <c r="R125" s="99"/>
      <c r="S125" s="99"/>
      <c r="T125" s="113"/>
      <c r="U125" s="117"/>
      <c r="V125" s="104"/>
      <c r="W125" s="113"/>
      <c r="X125" s="97">
        <v>0.22500000000000001</v>
      </c>
      <c r="Y125" s="97">
        <f t="shared" si="15"/>
        <v>0.47250000000000003</v>
      </c>
      <c r="Z125" s="98">
        <f t="shared" si="21"/>
        <v>14.53725</v>
      </c>
      <c r="AA125" s="114"/>
      <c r="AB125" s="89"/>
      <c r="AC125" s="89"/>
      <c r="AD125" s="89"/>
      <c r="AE125" s="89"/>
      <c r="AF125" s="89"/>
    </row>
    <row r="126" spans="1:32" s="90" customFormat="1" x14ac:dyDescent="0.45">
      <c r="A126" s="86" t="s">
        <v>642</v>
      </c>
      <c r="B126" s="110" t="s">
        <v>643</v>
      </c>
      <c r="C126" s="67"/>
      <c r="D126" s="67"/>
      <c r="E126" s="97">
        <f t="shared" si="14"/>
        <v>6.7375000000000007</v>
      </c>
      <c r="F126" s="97">
        <v>2.1</v>
      </c>
      <c r="G126" s="97">
        <f t="shared" si="18"/>
        <v>4.12</v>
      </c>
      <c r="H126" s="97">
        <v>0.7</v>
      </c>
      <c r="I126" s="97">
        <v>0.2</v>
      </c>
      <c r="J126" s="111"/>
      <c r="K126" s="99"/>
      <c r="L126" s="104">
        <v>0.7</v>
      </c>
      <c r="M126" s="104">
        <f t="shared" si="20"/>
        <v>1.61</v>
      </c>
      <c r="N126" s="104">
        <v>0.7</v>
      </c>
      <c r="O126" s="104">
        <f t="shared" si="22"/>
        <v>1.61</v>
      </c>
      <c r="P126" s="98"/>
      <c r="Q126" s="99"/>
      <c r="R126" s="99"/>
      <c r="S126" s="99"/>
      <c r="T126" s="113"/>
      <c r="U126" s="117"/>
      <c r="V126" s="104"/>
      <c r="W126" s="113"/>
      <c r="X126" s="97">
        <v>0.22500000000000001</v>
      </c>
      <c r="Y126" s="97">
        <f t="shared" si="15"/>
        <v>0.51750000000000007</v>
      </c>
      <c r="Z126" s="98">
        <f t="shared" si="21"/>
        <v>15.765750000000001</v>
      </c>
      <c r="AA126" s="114"/>
      <c r="AB126" s="89"/>
      <c r="AC126" s="89"/>
      <c r="AD126" s="89"/>
      <c r="AE126" s="89"/>
      <c r="AF126" s="89"/>
    </row>
    <row r="127" spans="1:32" s="90" customFormat="1" x14ac:dyDescent="0.45">
      <c r="A127" s="86" t="s">
        <v>644</v>
      </c>
      <c r="B127" s="110" t="s">
        <v>645</v>
      </c>
      <c r="C127" s="67"/>
      <c r="D127" s="67"/>
      <c r="E127" s="97">
        <f t="shared" si="14"/>
        <v>6.2125000000000004</v>
      </c>
      <c r="F127" s="97">
        <v>2.1</v>
      </c>
      <c r="G127" s="97">
        <f t="shared" si="18"/>
        <v>3.6399999999999997</v>
      </c>
      <c r="H127" s="97">
        <v>0.7</v>
      </c>
      <c r="I127" s="97"/>
      <c r="J127" s="111"/>
      <c r="K127" s="99"/>
      <c r="L127" s="104">
        <v>0.7</v>
      </c>
      <c r="M127" s="104">
        <f t="shared" si="20"/>
        <v>1.47</v>
      </c>
      <c r="N127" s="104">
        <v>0.7</v>
      </c>
      <c r="O127" s="104">
        <f t="shared" si="22"/>
        <v>1.47</v>
      </c>
      <c r="P127" s="98"/>
      <c r="Q127" s="99"/>
      <c r="R127" s="99"/>
      <c r="S127" s="99"/>
      <c r="T127" s="113"/>
      <c r="U127" s="117"/>
      <c r="V127" s="104"/>
      <c r="W127" s="113"/>
      <c r="X127" s="97">
        <v>0.22500000000000001</v>
      </c>
      <c r="Y127" s="97">
        <f t="shared" si="15"/>
        <v>0.47250000000000003</v>
      </c>
      <c r="Z127" s="98">
        <f t="shared" si="21"/>
        <v>14.53725</v>
      </c>
      <c r="AA127" s="114"/>
      <c r="AB127" s="89"/>
      <c r="AC127" s="89"/>
      <c r="AD127" s="89"/>
      <c r="AE127" s="89"/>
      <c r="AF127" s="89"/>
    </row>
    <row r="128" spans="1:32" s="90" customFormat="1" x14ac:dyDescent="0.45">
      <c r="A128" s="86" t="s">
        <v>646</v>
      </c>
      <c r="B128" s="110" t="s">
        <v>647</v>
      </c>
      <c r="C128" s="67"/>
      <c r="D128" s="67"/>
      <c r="E128" s="97">
        <f t="shared" si="14"/>
        <v>6.2125000000000004</v>
      </c>
      <c r="F128" s="97">
        <v>2.1</v>
      </c>
      <c r="G128" s="97">
        <f t="shared" si="18"/>
        <v>3.6399999999999997</v>
      </c>
      <c r="H128" s="97">
        <v>0.7</v>
      </c>
      <c r="I128" s="97"/>
      <c r="J128" s="111"/>
      <c r="K128" s="99"/>
      <c r="L128" s="104">
        <v>0.7</v>
      </c>
      <c r="M128" s="104">
        <f t="shared" si="20"/>
        <v>1.47</v>
      </c>
      <c r="N128" s="104">
        <v>0.7</v>
      </c>
      <c r="O128" s="104">
        <f t="shared" si="22"/>
        <v>1.47</v>
      </c>
      <c r="P128" s="98"/>
      <c r="Q128" s="99"/>
      <c r="R128" s="99"/>
      <c r="S128" s="99"/>
      <c r="T128" s="113"/>
      <c r="U128" s="117"/>
      <c r="V128" s="104"/>
      <c r="W128" s="113"/>
      <c r="X128" s="97">
        <v>0.22500000000000001</v>
      </c>
      <c r="Y128" s="97">
        <f t="shared" si="15"/>
        <v>0.47250000000000003</v>
      </c>
      <c r="Z128" s="98">
        <f t="shared" si="21"/>
        <v>14.53725</v>
      </c>
      <c r="AA128" s="114"/>
      <c r="AB128" s="89"/>
      <c r="AC128" s="89"/>
      <c r="AD128" s="89"/>
      <c r="AE128" s="89"/>
      <c r="AF128" s="89"/>
    </row>
    <row r="129" spans="1:32" s="90" customFormat="1" x14ac:dyDescent="0.45">
      <c r="A129" s="86" t="s">
        <v>648</v>
      </c>
      <c r="B129" s="18" t="s">
        <v>649</v>
      </c>
      <c r="C129" s="67"/>
      <c r="D129" s="67"/>
      <c r="E129" s="97">
        <f t="shared" si="14"/>
        <v>6.2125000000000004</v>
      </c>
      <c r="F129" s="97">
        <v>2.1</v>
      </c>
      <c r="G129" s="97">
        <f t="shared" si="18"/>
        <v>3.6399999999999997</v>
      </c>
      <c r="H129" s="97">
        <v>0.7</v>
      </c>
      <c r="I129" s="97"/>
      <c r="J129" s="111"/>
      <c r="K129" s="99"/>
      <c r="L129" s="104">
        <v>0.7</v>
      </c>
      <c r="M129" s="104">
        <f t="shared" si="20"/>
        <v>1.47</v>
      </c>
      <c r="N129" s="104">
        <v>0.7</v>
      </c>
      <c r="O129" s="104">
        <f t="shared" si="22"/>
        <v>1.47</v>
      </c>
      <c r="P129" s="98"/>
      <c r="Q129" s="99"/>
      <c r="R129" s="99"/>
      <c r="S129" s="99"/>
      <c r="T129" s="113"/>
      <c r="U129" s="117"/>
      <c r="V129" s="104"/>
      <c r="W129" s="113"/>
      <c r="X129" s="97">
        <v>0.22500000000000001</v>
      </c>
      <c r="Y129" s="97">
        <f t="shared" si="15"/>
        <v>0.47250000000000003</v>
      </c>
      <c r="Z129" s="98">
        <f t="shared" si="21"/>
        <v>14.53725</v>
      </c>
      <c r="AA129" s="114" t="s">
        <v>611</v>
      </c>
      <c r="AB129" s="89"/>
      <c r="AC129" s="89"/>
      <c r="AD129" s="89"/>
      <c r="AE129" s="89"/>
      <c r="AF129" s="89"/>
    </row>
    <row r="130" spans="1:32" s="90" customFormat="1" x14ac:dyDescent="0.45">
      <c r="A130" s="86" t="s">
        <v>650</v>
      </c>
      <c r="B130" s="18" t="s">
        <v>651</v>
      </c>
      <c r="C130" s="67"/>
      <c r="D130" s="67"/>
      <c r="E130" s="97">
        <f t="shared" si="14"/>
        <v>6.2125000000000004</v>
      </c>
      <c r="F130" s="97">
        <v>2.1</v>
      </c>
      <c r="G130" s="97">
        <f t="shared" si="18"/>
        <v>3.6399999999999997</v>
      </c>
      <c r="H130" s="97">
        <v>0.7</v>
      </c>
      <c r="I130" s="97"/>
      <c r="J130" s="111"/>
      <c r="K130" s="99"/>
      <c r="L130" s="104">
        <v>0.7</v>
      </c>
      <c r="M130" s="104">
        <f t="shared" si="20"/>
        <v>1.47</v>
      </c>
      <c r="N130" s="104">
        <v>0.7</v>
      </c>
      <c r="O130" s="104">
        <f t="shared" si="22"/>
        <v>1.47</v>
      </c>
      <c r="P130" s="98"/>
      <c r="Q130" s="99"/>
      <c r="R130" s="99"/>
      <c r="S130" s="99"/>
      <c r="T130" s="113"/>
      <c r="U130" s="117"/>
      <c r="V130" s="104"/>
      <c r="W130" s="113"/>
      <c r="X130" s="97">
        <v>0.22500000000000001</v>
      </c>
      <c r="Y130" s="97">
        <f t="shared" si="15"/>
        <v>0.47250000000000003</v>
      </c>
      <c r="Z130" s="98">
        <f t="shared" si="21"/>
        <v>14.53725</v>
      </c>
      <c r="AA130" s="114"/>
      <c r="AB130" s="89"/>
      <c r="AC130" s="89"/>
      <c r="AD130" s="89"/>
      <c r="AE130" s="89"/>
      <c r="AF130" s="89"/>
    </row>
    <row r="131" spans="1:32" s="90" customFormat="1" x14ac:dyDescent="0.45">
      <c r="A131" s="86" t="s">
        <v>652</v>
      </c>
      <c r="B131" s="18" t="s">
        <v>653</v>
      </c>
      <c r="C131" s="67"/>
      <c r="D131" s="67"/>
      <c r="E131" s="97">
        <f t="shared" si="14"/>
        <v>6.2125000000000004</v>
      </c>
      <c r="F131" s="97">
        <v>2.1</v>
      </c>
      <c r="G131" s="97">
        <f t="shared" si="18"/>
        <v>3.6399999999999997</v>
      </c>
      <c r="H131" s="97">
        <v>0.7</v>
      </c>
      <c r="I131" s="97"/>
      <c r="J131" s="111"/>
      <c r="K131" s="99"/>
      <c r="L131" s="104">
        <v>0.7</v>
      </c>
      <c r="M131" s="104">
        <f t="shared" si="20"/>
        <v>1.47</v>
      </c>
      <c r="N131" s="104">
        <v>0.7</v>
      </c>
      <c r="O131" s="104">
        <f t="shared" si="22"/>
        <v>1.47</v>
      </c>
      <c r="P131" s="98"/>
      <c r="Q131" s="99"/>
      <c r="R131" s="99"/>
      <c r="S131" s="99"/>
      <c r="T131" s="113"/>
      <c r="U131" s="117"/>
      <c r="V131" s="104"/>
      <c r="W131" s="113"/>
      <c r="X131" s="97">
        <v>0.22500000000000001</v>
      </c>
      <c r="Y131" s="97">
        <f t="shared" si="15"/>
        <v>0.47250000000000003</v>
      </c>
      <c r="Z131" s="98">
        <f t="shared" si="21"/>
        <v>14.53725</v>
      </c>
      <c r="AA131" s="114"/>
      <c r="AB131" s="89"/>
      <c r="AC131" s="89"/>
      <c r="AD131" s="89"/>
      <c r="AE131" s="89"/>
      <c r="AF131" s="89"/>
    </row>
    <row r="132" spans="1:32" s="90" customFormat="1" x14ac:dyDescent="0.45">
      <c r="A132" s="86" t="s">
        <v>654</v>
      </c>
      <c r="B132" s="18" t="s">
        <v>655</v>
      </c>
      <c r="C132" s="67"/>
      <c r="D132" s="67"/>
      <c r="E132" s="97">
        <f t="shared" si="14"/>
        <v>8.7432249999999989</v>
      </c>
      <c r="F132" s="97">
        <v>3.34</v>
      </c>
      <c r="G132" s="97">
        <f t="shared" si="18"/>
        <v>4.5389999999999997</v>
      </c>
      <c r="H132" s="97">
        <v>0.7</v>
      </c>
      <c r="I132" s="97"/>
      <c r="J132" s="111"/>
      <c r="K132" s="99"/>
      <c r="L132" s="104">
        <v>0.7</v>
      </c>
      <c r="M132" s="104">
        <f t="shared" si="20"/>
        <v>2.3379999999999996</v>
      </c>
      <c r="N132" s="104"/>
      <c r="O132" s="104"/>
      <c r="P132" s="98">
        <v>1</v>
      </c>
      <c r="Q132" s="99"/>
      <c r="R132" s="99"/>
      <c r="S132" s="99"/>
      <c r="T132" s="113"/>
      <c r="U132" s="104">
        <v>0.15</v>
      </c>
      <c r="V132" s="104">
        <f>(F132+I132+K132)*U132</f>
        <v>0.501</v>
      </c>
      <c r="W132" s="113"/>
      <c r="X132" s="97">
        <v>0.22500000000000001</v>
      </c>
      <c r="Y132" s="97">
        <f t="shared" si="15"/>
        <v>0.86422499999999991</v>
      </c>
      <c r="Z132" s="98">
        <f t="shared" si="21"/>
        <v>20.459146499999996</v>
      </c>
      <c r="AA132" s="114"/>
      <c r="AB132" s="89"/>
      <c r="AC132" s="89"/>
      <c r="AD132" s="89"/>
      <c r="AE132" s="89"/>
      <c r="AF132" s="89"/>
    </row>
    <row r="133" spans="1:32" s="90" customFormat="1" x14ac:dyDescent="0.45">
      <c r="A133" s="86" t="s">
        <v>656</v>
      </c>
      <c r="B133" s="18" t="s">
        <v>657</v>
      </c>
      <c r="C133" s="67"/>
      <c r="D133" s="67"/>
      <c r="E133" s="97">
        <f t="shared" ref="E133:E196" si="23">F133+G133+Y133</f>
        <v>6.2125000000000004</v>
      </c>
      <c r="F133" s="97">
        <v>2.1</v>
      </c>
      <c r="G133" s="97">
        <f t="shared" si="18"/>
        <v>3.6399999999999997</v>
      </c>
      <c r="H133" s="97">
        <v>0.7</v>
      </c>
      <c r="I133" s="97"/>
      <c r="J133" s="111"/>
      <c r="K133" s="99"/>
      <c r="L133" s="104">
        <v>0.7</v>
      </c>
      <c r="M133" s="104">
        <f t="shared" si="20"/>
        <v>1.47</v>
      </c>
      <c r="N133" s="104">
        <v>0.7</v>
      </c>
      <c r="O133" s="104">
        <f t="shared" si="22"/>
        <v>1.47</v>
      </c>
      <c r="P133" s="98"/>
      <c r="Q133" s="99"/>
      <c r="R133" s="99"/>
      <c r="S133" s="99"/>
      <c r="T133" s="113"/>
      <c r="U133" s="117"/>
      <c r="V133" s="104"/>
      <c r="W133" s="113"/>
      <c r="X133" s="97">
        <v>0.22500000000000001</v>
      </c>
      <c r="Y133" s="97">
        <f t="shared" si="15"/>
        <v>0.47250000000000003</v>
      </c>
      <c r="Z133" s="98">
        <f t="shared" si="21"/>
        <v>14.53725</v>
      </c>
      <c r="AA133" s="114"/>
      <c r="AB133" s="89"/>
      <c r="AC133" s="89"/>
      <c r="AD133" s="89"/>
      <c r="AE133" s="89"/>
      <c r="AF133" s="89"/>
    </row>
    <row r="134" spans="1:32" s="90" customFormat="1" x14ac:dyDescent="0.45">
      <c r="A134" s="86" t="s">
        <v>658</v>
      </c>
      <c r="B134" s="18" t="s">
        <v>659</v>
      </c>
      <c r="C134" s="67"/>
      <c r="D134" s="67"/>
      <c r="E134" s="97">
        <f t="shared" si="23"/>
        <v>6.2125000000000004</v>
      </c>
      <c r="F134" s="97">
        <v>2.1</v>
      </c>
      <c r="G134" s="97">
        <f t="shared" si="18"/>
        <v>3.6399999999999997</v>
      </c>
      <c r="H134" s="97">
        <v>0.7</v>
      </c>
      <c r="I134" s="97"/>
      <c r="J134" s="111"/>
      <c r="K134" s="99"/>
      <c r="L134" s="104">
        <v>0.7</v>
      </c>
      <c r="M134" s="104">
        <f t="shared" si="20"/>
        <v>1.47</v>
      </c>
      <c r="N134" s="104">
        <v>0.7</v>
      </c>
      <c r="O134" s="104">
        <f t="shared" si="22"/>
        <v>1.47</v>
      </c>
      <c r="P134" s="98"/>
      <c r="Q134" s="99"/>
      <c r="R134" s="99"/>
      <c r="S134" s="99"/>
      <c r="T134" s="113"/>
      <c r="U134" s="117"/>
      <c r="V134" s="104"/>
      <c r="W134" s="113"/>
      <c r="X134" s="97">
        <v>0.22500000000000001</v>
      </c>
      <c r="Y134" s="97">
        <f t="shared" si="15"/>
        <v>0.47250000000000003</v>
      </c>
      <c r="Z134" s="98">
        <f t="shared" si="21"/>
        <v>14.53725</v>
      </c>
      <c r="AA134" s="114"/>
      <c r="AB134" s="89"/>
      <c r="AC134" s="89"/>
      <c r="AD134" s="89"/>
      <c r="AE134" s="89"/>
      <c r="AF134" s="89"/>
    </row>
    <row r="135" spans="1:32" s="90" customFormat="1" x14ac:dyDescent="0.45">
      <c r="A135" s="86" t="s">
        <v>660</v>
      </c>
      <c r="B135" s="18" t="s">
        <v>661</v>
      </c>
      <c r="C135" s="67"/>
      <c r="D135" s="67"/>
      <c r="E135" s="97">
        <f t="shared" si="23"/>
        <v>6.2125000000000004</v>
      </c>
      <c r="F135" s="97">
        <v>2.1</v>
      </c>
      <c r="G135" s="97">
        <f t="shared" si="18"/>
        <v>3.6399999999999997</v>
      </c>
      <c r="H135" s="97">
        <v>0.7</v>
      </c>
      <c r="I135" s="97"/>
      <c r="J135" s="111"/>
      <c r="K135" s="99"/>
      <c r="L135" s="104">
        <v>0.7</v>
      </c>
      <c r="M135" s="104">
        <f t="shared" si="20"/>
        <v>1.47</v>
      </c>
      <c r="N135" s="104">
        <v>0.7</v>
      </c>
      <c r="O135" s="104">
        <f t="shared" si="22"/>
        <v>1.47</v>
      </c>
      <c r="P135" s="98"/>
      <c r="Q135" s="99"/>
      <c r="R135" s="99"/>
      <c r="S135" s="99"/>
      <c r="T135" s="113"/>
      <c r="U135" s="117"/>
      <c r="V135" s="104"/>
      <c r="W135" s="113"/>
      <c r="X135" s="97">
        <v>0.22500000000000001</v>
      </c>
      <c r="Y135" s="97">
        <f t="shared" si="15"/>
        <v>0.47250000000000003</v>
      </c>
      <c r="Z135" s="98">
        <f t="shared" si="21"/>
        <v>14.53725</v>
      </c>
      <c r="AA135" s="114"/>
      <c r="AB135" s="89"/>
      <c r="AC135" s="89"/>
      <c r="AD135" s="89"/>
      <c r="AE135" s="89"/>
      <c r="AF135" s="89"/>
    </row>
    <row r="136" spans="1:32" s="90" customFormat="1" x14ac:dyDescent="0.45">
      <c r="A136" s="86" t="s">
        <v>662</v>
      </c>
      <c r="B136" s="118" t="s">
        <v>663</v>
      </c>
      <c r="C136" s="67"/>
      <c r="D136" s="67"/>
      <c r="E136" s="97">
        <f t="shared" si="23"/>
        <v>7.0262500000000001</v>
      </c>
      <c r="F136" s="97">
        <v>2.41</v>
      </c>
      <c r="G136" s="97">
        <f t="shared" si="18"/>
        <v>4.0739999999999998</v>
      </c>
      <c r="H136" s="97">
        <v>0.7</v>
      </c>
      <c r="I136" s="97"/>
      <c r="J136" s="111"/>
      <c r="K136" s="99"/>
      <c r="L136" s="104">
        <v>0.7</v>
      </c>
      <c r="M136" s="104">
        <f t="shared" si="20"/>
        <v>1.6870000000000001</v>
      </c>
      <c r="N136" s="104">
        <v>0.7</v>
      </c>
      <c r="O136" s="104">
        <f t="shared" si="22"/>
        <v>1.6870000000000001</v>
      </c>
      <c r="P136" s="98"/>
      <c r="Q136" s="99"/>
      <c r="R136" s="99"/>
      <c r="S136" s="99"/>
      <c r="T136" s="113"/>
      <c r="U136" s="117"/>
      <c r="V136" s="104"/>
      <c r="W136" s="113"/>
      <c r="X136" s="97">
        <v>0.22500000000000001</v>
      </c>
      <c r="Y136" s="97">
        <f t="shared" si="15"/>
        <v>0.54225000000000001</v>
      </c>
      <c r="Z136" s="98">
        <f t="shared" si="21"/>
        <v>16.441424999999999</v>
      </c>
      <c r="AA136" s="114"/>
      <c r="AB136" s="89"/>
      <c r="AC136" s="89"/>
      <c r="AD136" s="89"/>
      <c r="AE136" s="89"/>
      <c r="AF136" s="89"/>
    </row>
    <row r="137" spans="1:32" s="90" customFormat="1" x14ac:dyDescent="0.45">
      <c r="A137" s="86" t="s">
        <v>664</v>
      </c>
      <c r="B137" s="118" t="s">
        <v>665</v>
      </c>
      <c r="C137" s="67"/>
      <c r="D137" s="67"/>
      <c r="E137" s="97">
        <f t="shared" si="23"/>
        <v>6.2125000000000004</v>
      </c>
      <c r="F137" s="97">
        <v>2.1</v>
      </c>
      <c r="G137" s="97">
        <f t="shared" si="18"/>
        <v>3.6399999999999997</v>
      </c>
      <c r="H137" s="97">
        <v>0.7</v>
      </c>
      <c r="I137" s="97"/>
      <c r="J137" s="111"/>
      <c r="K137" s="99"/>
      <c r="L137" s="104">
        <v>0.7</v>
      </c>
      <c r="M137" s="104">
        <f t="shared" si="20"/>
        <v>1.47</v>
      </c>
      <c r="N137" s="104">
        <v>0.7</v>
      </c>
      <c r="O137" s="104">
        <f t="shared" si="22"/>
        <v>1.47</v>
      </c>
      <c r="P137" s="98"/>
      <c r="Q137" s="99"/>
      <c r="R137" s="99"/>
      <c r="S137" s="99"/>
      <c r="T137" s="113"/>
      <c r="U137" s="117"/>
      <c r="V137" s="104"/>
      <c r="W137" s="113"/>
      <c r="X137" s="97">
        <v>0.22500000000000001</v>
      </c>
      <c r="Y137" s="97">
        <f t="shared" si="15"/>
        <v>0.47250000000000003</v>
      </c>
      <c r="Z137" s="98">
        <f t="shared" si="21"/>
        <v>14.53725</v>
      </c>
      <c r="AA137" s="114"/>
      <c r="AB137" s="89"/>
      <c r="AC137" s="89"/>
      <c r="AD137" s="89"/>
      <c r="AE137" s="89"/>
      <c r="AF137" s="89"/>
    </row>
    <row r="138" spans="1:32" s="90" customFormat="1" x14ac:dyDescent="0.45">
      <c r="A138" s="86" t="s">
        <v>666</v>
      </c>
      <c r="B138" s="110" t="s">
        <v>667</v>
      </c>
      <c r="C138" s="67"/>
      <c r="D138" s="67"/>
      <c r="E138" s="97">
        <f t="shared" si="23"/>
        <v>6.2125000000000004</v>
      </c>
      <c r="F138" s="97">
        <v>2.1</v>
      </c>
      <c r="G138" s="97">
        <f t="shared" si="18"/>
        <v>3.6399999999999997</v>
      </c>
      <c r="H138" s="97">
        <v>0.7</v>
      </c>
      <c r="I138" s="97"/>
      <c r="J138" s="111"/>
      <c r="K138" s="99"/>
      <c r="L138" s="104">
        <v>0.7</v>
      </c>
      <c r="M138" s="104">
        <f t="shared" si="20"/>
        <v>1.47</v>
      </c>
      <c r="N138" s="104">
        <v>0.7</v>
      </c>
      <c r="O138" s="104">
        <f t="shared" si="22"/>
        <v>1.47</v>
      </c>
      <c r="P138" s="98"/>
      <c r="Q138" s="99"/>
      <c r="R138" s="99"/>
      <c r="S138" s="99"/>
      <c r="T138" s="113"/>
      <c r="U138" s="117"/>
      <c r="V138" s="104"/>
      <c r="W138" s="113"/>
      <c r="X138" s="97">
        <v>0.22500000000000001</v>
      </c>
      <c r="Y138" s="97">
        <f t="shared" si="15"/>
        <v>0.47250000000000003</v>
      </c>
      <c r="Z138" s="98">
        <f t="shared" si="21"/>
        <v>14.53725</v>
      </c>
      <c r="AA138" s="114"/>
      <c r="AB138" s="89"/>
      <c r="AC138" s="89"/>
      <c r="AD138" s="89"/>
      <c r="AE138" s="89"/>
      <c r="AF138" s="89"/>
    </row>
    <row r="139" spans="1:32" s="90" customFormat="1" x14ac:dyDescent="0.45">
      <c r="A139" s="86" t="s">
        <v>668</v>
      </c>
      <c r="B139" s="110" t="s">
        <v>669</v>
      </c>
      <c r="C139" s="67"/>
      <c r="D139" s="67"/>
      <c r="E139" s="97">
        <f t="shared" si="23"/>
        <v>6.2125000000000004</v>
      </c>
      <c r="F139" s="97">
        <v>2.1</v>
      </c>
      <c r="G139" s="97">
        <f t="shared" si="18"/>
        <v>3.6399999999999997</v>
      </c>
      <c r="H139" s="97">
        <v>0.7</v>
      </c>
      <c r="I139" s="97"/>
      <c r="J139" s="111"/>
      <c r="K139" s="99"/>
      <c r="L139" s="104">
        <v>0.7</v>
      </c>
      <c r="M139" s="104">
        <f t="shared" si="20"/>
        <v>1.47</v>
      </c>
      <c r="N139" s="104">
        <v>0.7</v>
      </c>
      <c r="O139" s="104">
        <f t="shared" si="22"/>
        <v>1.47</v>
      </c>
      <c r="P139" s="98"/>
      <c r="Q139" s="99"/>
      <c r="R139" s="99"/>
      <c r="S139" s="99"/>
      <c r="T139" s="113"/>
      <c r="U139" s="117"/>
      <c r="V139" s="104"/>
      <c r="W139" s="113"/>
      <c r="X139" s="97">
        <v>0.22500000000000001</v>
      </c>
      <c r="Y139" s="97">
        <f t="shared" si="15"/>
        <v>0.47250000000000003</v>
      </c>
      <c r="Z139" s="98">
        <f t="shared" si="21"/>
        <v>14.53725</v>
      </c>
      <c r="AA139" s="114"/>
      <c r="AB139" s="89"/>
      <c r="AC139" s="89"/>
      <c r="AD139" s="89"/>
      <c r="AE139" s="89"/>
      <c r="AF139" s="89"/>
    </row>
    <row r="140" spans="1:32" s="90" customFormat="1" x14ac:dyDescent="0.45">
      <c r="A140" s="86" t="s">
        <v>670</v>
      </c>
      <c r="B140" s="110" t="s">
        <v>671</v>
      </c>
      <c r="C140" s="67"/>
      <c r="D140" s="67"/>
      <c r="E140" s="97">
        <f t="shared" si="23"/>
        <v>6.2125000000000004</v>
      </c>
      <c r="F140" s="97">
        <v>2.1</v>
      </c>
      <c r="G140" s="97">
        <f t="shared" si="18"/>
        <v>3.6399999999999997</v>
      </c>
      <c r="H140" s="97">
        <v>0.7</v>
      </c>
      <c r="I140" s="97"/>
      <c r="J140" s="111"/>
      <c r="K140" s="99"/>
      <c r="L140" s="104">
        <v>0.7</v>
      </c>
      <c r="M140" s="104">
        <f t="shared" si="20"/>
        <v>1.47</v>
      </c>
      <c r="N140" s="104">
        <v>0.7</v>
      </c>
      <c r="O140" s="104">
        <f t="shared" si="22"/>
        <v>1.47</v>
      </c>
      <c r="P140" s="98"/>
      <c r="Q140" s="99"/>
      <c r="R140" s="99"/>
      <c r="S140" s="99"/>
      <c r="T140" s="113"/>
      <c r="U140" s="117"/>
      <c r="V140" s="104"/>
      <c r="W140" s="113"/>
      <c r="X140" s="97">
        <v>0.22500000000000001</v>
      </c>
      <c r="Y140" s="97">
        <f t="shared" si="15"/>
        <v>0.47250000000000003</v>
      </c>
      <c r="Z140" s="98">
        <f t="shared" si="21"/>
        <v>14.53725</v>
      </c>
      <c r="AA140" s="114"/>
      <c r="AB140" s="89"/>
      <c r="AC140" s="89"/>
      <c r="AD140" s="89"/>
      <c r="AE140" s="89"/>
      <c r="AF140" s="89"/>
    </row>
    <row r="141" spans="1:32" s="90" customFormat="1" x14ac:dyDescent="0.45">
      <c r="A141" s="86" t="s">
        <v>672</v>
      </c>
      <c r="B141" s="110" t="s">
        <v>673</v>
      </c>
      <c r="C141" s="67"/>
      <c r="D141" s="67"/>
      <c r="E141" s="97">
        <f t="shared" si="23"/>
        <v>7.0262500000000001</v>
      </c>
      <c r="F141" s="97">
        <v>2.41</v>
      </c>
      <c r="G141" s="97">
        <f t="shared" si="18"/>
        <v>4.0739999999999998</v>
      </c>
      <c r="H141" s="97">
        <v>0.7</v>
      </c>
      <c r="I141" s="97"/>
      <c r="J141" s="111"/>
      <c r="K141" s="99"/>
      <c r="L141" s="104">
        <v>0.7</v>
      </c>
      <c r="M141" s="104">
        <f t="shared" si="20"/>
        <v>1.6870000000000001</v>
      </c>
      <c r="N141" s="104">
        <v>0.7</v>
      </c>
      <c r="O141" s="104">
        <f t="shared" si="22"/>
        <v>1.6870000000000001</v>
      </c>
      <c r="P141" s="98"/>
      <c r="Q141" s="99"/>
      <c r="R141" s="99"/>
      <c r="S141" s="99"/>
      <c r="T141" s="113"/>
      <c r="U141" s="117"/>
      <c r="V141" s="104"/>
      <c r="W141" s="113"/>
      <c r="X141" s="97">
        <v>0.22500000000000001</v>
      </c>
      <c r="Y141" s="97">
        <f t="shared" si="15"/>
        <v>0.54225000000000001</v>
      </c>
      <c r="Z141" s="98">
        <f t="shared" si="21"/>
        <v>16.441424999999999</v>
      </c>
      <c r="AA141" s="114"/>
      <c r="AB141" s="89"/>
      <c r="AC141" s="89"/>
      <c r="AD141" s="89"/>
      <c r="AE141" s="89"/>
      <c r="AF141" s="89"/>
    </row>
    <row r="142" spans="1:32" s="90" customFormat="1" x14ac:dyDescent="0.45">
      <c r="A142" s="86" t="s">
        <v>674</v>
      </c>
      <c r="B142" s="110" t="s">
        <v>675</v>
      </c>
      <c r="C142" s="67"/>
      <c r="D142" s="67"/>
      <c r="E142" s="97">
        <f t="shared" si="23"/>
        <v>10.875129999999999</v>
      </c>
      <c r="F142" s="97">
        <v>4.2699999999999996</v>
      </c>
      <c r="G142" s="97">
        <f t="shared" si="18"/>
        <v>5.4137999999999993</v>
      </c>
      <c r="H142" s="97">
        <v>0.7</v>
      </c>
      <c r="I142" s="97"/>
      <c r="J142" s="111"/>
      <c r="K142" s="99"/>
      <c r="L142" s="104">
        <v>0.7</v>
      </c>
      <c r="M142" s="104">
        <f>(F142+I142+K142)*L142</f>
        <v>2.9889999999999994</v>
      </c>
      <c r="N142" s="104"/>
      <c r="O142" s="104"/>
      <c r="P142" s="98">
        <v>0.7</v>
      </c>
      <c r="Q142" s="99"/>
      <c r="R142" s="99"/>
      <c r="S142" s="99"/>
      <c r="T142" s="113"/>
      <c r="U142" s="104">
        <v>0.24</v>
      </c>
      <c r="V142" s="104">
        <f>(F142+I142+K142)*U142</f>
        <v>1.0247999999999999</v>
      </c>
      <c r="W142" s="113"/>
      <c r="X142" s="97">
        <v>0.22500000000000001</v>
      </c>
      <c r="Y142" s="97">
        <f t="shared" si="15"/>
        <v>1.19133</v>
      </c>
      <c r="Z142" s="98">
        <f t="shared" si="21"/>
        <v>25.447804199999997</v>
      </c>
      <c r="AA142" s="114"/>
      <c r="AB142" s="89"/>
      <c r="AC142" s="89"/>
      <c r="AD142" s="89"/>
      <c r="AE142" s="89"/>
      <c r="AF142" s="89"/>
    </row>
    <row r="143" spans="1:32" s="90" customFormat="1" x14ac:dyDescent="0.45">
      <c r="A143" s="86" t="s">
        <v>676</v>
      </c>
      <c r="B143" s="110" t="s">
        <v>677</v>
      </c>
      <c r="C143" s="67"/>
      <c r="D143" s="67"/>
      <c r="E143" s="97">
        <f t="shared" si="23"/>
        <v>5.4915000000000003</v>
      </c>
      <c r="F143" s="97">
        <v>3.34</v>
      </c>
      <c r="G143" s="97">
        <f t="shared" si="18"/>
        <v>1.4</v>
      </c>
      <c r="H143" s="97">
        <v>0.7</v>
      </c>
      <c r="I143" s="97"/>
      <c r="J143" s="111"/>
      <c r="K143" s="99"/>
      <c r="L143" s="104"/>
      <c r="M143" s="104"/>
      <c r="N143" s="104"/>
      <c r="O143" s="104"/>
      <c r="P143" s="98">
        <v>0.7</v>
      </c>
      <c r="Q143" s="99"/>
      <c r="R143" s="99"/>
      <c r="S143" s="99"/>
      <c r="T143" s="113"/>
      <c r="U143" s="117"/>
      <c r="V143" s="104"/>
      <c r="W143" s="113"/>
      <c r="X143" s="97">
        <v>0.22500000000000001</v>
      </c>
      <c r="Y143" s="97">
        <f t="shared" si="15"/>
        <v>0.75149999999999995</v>
      </c>
      <c r="Z143" s="98">
        <f t="shared" si="21"/>
        <v>12.850109999999999</v>
      </c>
      <c r="AA143" s="114"/>
      <c r="AB143" s="89"/>
      <c r="AC143" s="89"/>
      <c r="AD143" s="89"/>
      <c r="AE143" s="89"/>
      <c r="AF143" s="89"/>
    </row>
    <row r="144" spans="1:32" s="90" customFormat="1" x14ac:dyDescent="0.45">
      <c r="A144" s="119" t="s">
        <v>678</v>
      </c>
      <c r="B144" s="120" t="s">
        <v>679</v>
      </c>
      <c r="C144" s="121"/>
      <c r="D144" s="121"/>
      <c r="E144" s="97">
        <f t="shared" si="23"/>
        <v>5.2035</v>
      </c>
      <c r="F144" s="122">
        <v>2.86</v>
      </c>
      <c r="G144" s="122">
        <f t="shared" si="18"/>
        <v>1.7</v>
      </c>
      <c r="H144" s="122">
        <v>0.7</v>
      </c>
      <c r="I144" s="122"/>
      <c r="J144" s="123"/>
      <c r="K144" s="124"/>
      <c r="L144" s="125"/>
      <c r="M144" s="125"/>
      <c r="N144" s="125"/>
      <c r="O144" s="125"/>
      <c r="P144" s="126">
        <v>1</v>
      </c>
      <c r="Q144" s="124"/>
      <c r="R144" s="124"/>
      <c r="S144" s="124"/>
      <c r="T144" s="127"/>
      <c r="U144" s="123"/>
      <c r="V144" s="125"/>
      <c r="W144" s="127"/>
      <c r="X144" s="122">
        <v>0.22500000000000001</v>
      </c>
      <c r="Y144" s="122">
        <f t="shared" si="15"/>
        <v>0.64349999999999996</v>
      </c>
      <c r="Z144" s="126">
        <f t="shared" si="21"/>
        <v>12.17619</v>
      </c>
      <c r="AA144" s="128"/>
      <c r="AB144" s="89"/>
      <c r="AC144" s="89"/>
      <c r="AD144" s="89"/>
      <c r="AE144" s="89"/>
      <c r="AF144" s="89"/>
    </row>
    <row r="145" spans="1:32" s="90" customFormat="1" ht="25.5" x14ac:dyDescent="0.45">
      <c r="A145" s="129"/>
      <c r="B145" s="130" t="s">
        <v>680</v>
      </c>
      <c r="C145" s="131">
        <v>16</v>
      </c>
      <c r="D145" s="131">
        <v>16</v>
      </c>
      <c r="E145" s="132">
        <f>SUM(E146:E161)</f>
        <v>131.22751250000002</v>
      </c>
      <c r="F145" s="132">
        <f t="shared" ref="F145:Z145" si="24">SUM(F146:F161)</f>
        <v>49.84</v>
      </c>
      <c r="G145" s="132">
        <f t="shared" si="24"/>
        <v>68.444499999999991</v>
      </c>
      <c r="H145" s="132">
        <f t="shared" si="24"/>
        <v>11.199999999999998</v>
      </c>
      <c r="I145" s="132">
        <f t="shared" si="24"/>
        <v>1.5499999999999998</v>
      </c>
      <c r="J145" s="132">
        <f t="shared" si="24"/>
        <v>0</v>
      </c>
      <c r="K145" s="132">
        <f t="shared" si="24"/>
        <v>0</v>
      </c>
      <c r="L145" s="132">
        <f t="shared" si="24"/>
        <v>9.7999999999999989</v>
      </c>
      <c r="M145" s="132">
        <f t="shared" si="24"/>
        <v>31.975999999999999</v>
      </c>
      <c r="N145" s="132">
        <f t="shared" si="24"/>
        <v>3.5</v>
      </c>
      <c r="O145" s="132">
        <f t="shared" si="24"/>
        <v>7.7839999999999998</v>
      </c>
      <c r="P145" s="132">
        <f t="shared" si="24"/>
        <v>9.6999999999999993</v>
      </c>
      <c r="Q145" s="132">
        <f t="shared" si="24"/>
        <v>0</v>
      </c>
      <c r="R145" s="132">
        <f t="shared" si="24"/>
        <v>0</v>
      </c>
      <c r="S145" s="132">
        <f t="shared" si="24"/>
        <v>0</v>
      </c>
      <c r="T145" s="132">
        <f t="shared" si="24"/>
        <v>0</v>
      </c>
      <c r="U145" s="132">
        <f t="shared" si="24"/>
        <v>1.5</v>
      </c>
      <c r="V145" s="132">
        <f t="shared" si="24"/>
        <v>6.1345000000000001</v>
      </c>
      <c r="W145" s="132">
        <f t="shared" si="24"/>
        <v>0.1</v>
      </c>
      <c r="X145" s="132">
        <f t="shared" si="24"/>
        <v>3.600000000000001</v>
      </c>
      <c r="Y145" s="132">
        <f t="shared" si="24"/>
        <v>12.9430125</v>
      </c>
      <c r="Z145" s="132">
        <f t="shared" si="24"/>
        <v>307.07237924999993</v>
      </c>
      <c r="AA145" s="68"/>
      <c r="AB145" s="93">
        <f>E145*12*2.34</f>
        <v>3684.8685510000005</v>
      </c>
      <c r="AC145" s="93">
        <f>F145*10%*2.34*12</f>
        <v>139.95072000000002</v>
      </c>
      <c r="AD145" s="89"/>
      <c r="AE145" s="89"/>
      <c r="AF145" s="89"/>
    </row>
    <row r="146" spans="1:32" s="90" customFormat="1" x14ac:dyDescent="0.45">
      <c r="A146" s="129" t="s">
        <v>681</v>
      </c>
      <c r="B146" s="133" t="s">
        <v>682</v>
      </c>
      <c r="C146" s="131"/>
      <c r="D146" s="131"/>
      <c r="E146" s="97">
        <f t="shared" si="23"/>
        <v>14.19577</v>
      </c>
      <c r="F146" s="135">
        <v>4.9800000000000004</v>
      </c>
      <c r="G146" s="134">
        <f t="shared" ref="G146:G161" si="25">H146+I146+K146+M146+O146+P146+R146+S146+V146+W146</f>
        <v>7.6251999999999995</v>
      </c>
      <c r="H146" s="135">
        <v>0.7</v>
      </c>
      <c r="I146" s="135">
        <v>0.5</v>
      </c>
      <c r="J146" s="136"/>
      <c r="K146" s="132"/>
      <c r="L146" s="104">
        <v>0.7</v>
      </c>
      <c r="M146" s="134">
        <f>(F146+I146+K146)*L146</f>
        <v>3.8359999999999999</v>
      </c>
      <c r="N146" s="134"/>
      <c r="O146" s="134"/>
      <c r="P146" s="135">
        <v>1</v>
      </c>
      <c r="Q146" s="132"/>
      <c r="R146" s="132"/>
      <c r="S146" s="132"/>
      <c r="T146" s="137"/>
      <c r="U146" s="104">
        <v>0.28999999999999998</v>
      </c>
      <c r="V146" s="134">
        <f>(F146+I146+K146)*U146</f>
        <v>1.5891999999999999</v>
      </c>
      <c r="W146" s="136"/>
      <c r="X146" s="97">
        <v>0.22500000000000001</v>
      </c>
      <c r="Y146" s="134">
        <f t="shared" ref="Y146:Y161" si="26">X146*(F146+I146+K146+V146)</f>
        <v>1.59057</v>
      </c>
      <c r="Z146" s="134">
        <f t="shared" ref="Z146:Z161" si="27">E146*2.34</f>
        <v>33.218101799999999</v>
      </c>
      <c r="AA146" s="88"/>
      <c r="AB146" s="89"/>
      <c r="AC146" s="89"/>
      <c r="AD146" s="89"/>
      <c r="AE146" s="89"/>
      <c r="AF146" s="89"/>
    </row>
    <row r="147" spans="1:32" s="90" customFormat="1" x14ac:dyDescent="0.45">
      <c r="A147" s="129" t="s">
        <v>683</v>
      </c>
      <c r="B147" s="138" t="s">
        <v>684</v>
      </c>
      <c r="C147" s="131"/>
      <c r="D147" s="131"/>
      <c r="E147" s="97">
        <f t="shared" si="23"/>
        <v>10.106964999999999</v>
      </c>
      <c r="F147" s="135">
        <v>3.66</v>
      </c>
      <c r="G147" s="134">
        <f t="shared" si="25"/>
        <v>5.4183999999999992</v>
      </c>
      <c r="H147" s="135">
        <v>0.7</v>
      </c>
      <c r="I147" s="135">
        <v>0.35</v>
      </c>
      <c r="J147" s="136"/>
      <c r="K147" s="132"/>
      <c r="L147" s="104">
        <v>0.7</v>
      </c>
      <c r="M147" s="134">
        <f t="shared" ref="M147:M160" si="28">(F147+I147+K147)*L147</f>
        <v>2.8069999999999995</v>
      </c>
      <c r="N147" s="134"/>
      <c r="O147" s="134"/>
      <c r="P147" s="135">
        <v>1</v>
      </c>
      <c r="Q147" s="132"/>
      <c r="R147" s="132"/>
      <c r="S147" s="132"/>
      <c r="T147" s="137"/>
      <c r="U147" s="104">
        <v>0.14000000000000001</v>
      </c>
      <c r="V147" s="134">
        <f>(F147+I147+K147)*U147</f>
        <v>0.56140000000000001</v>
      </c>
      <c r="W147" s="136"/>
      <c r="X147" s="97">
        <v>0.22500000000000001</v>
      </c>
      <c r="Y147" s="134">
        <f t="shared" si="26"/>
        <v>1.028565</v>
      </c>
      <c r="Z147" s="134">
        <f t="shared" si="27"/>
        <v>23.650298099999997</v>
      </c>
      <c r="AA147" s="88"/>
      <c r="AB147" s="89"/>
      <c r="AC147" s="89"/>
      <c r="AD147" s="89"/>
      <c r="AE147" s="89"/>
      <c r="AF147" s="89"/>
    </row>
    <row r="148" spans="1:32" s="90" customFormat="1" x14ac:dyDescent="0.45">
      <c r="A148" s="129" t="s">
        <v>685</v>
      </c>
      <c r="B148" s="138" t="s">
        <v>686</v>
      </c>
      <c r="C148" s="131"/>
      <c r="D148" s="131"/>
      <c r="E148" s="97">
        <f t="shared" si="23"/>
        <v>11.164634999999999</v>
      </c>
      <c r="F148" s="135">
        <v>3.99</v>
      </c>
      <c r="G148" s="134">
        <f t="shared" si="25"/>
        <v>6.0125999999999991</v>
      </c>
      <c r="H148" s="135">
        <v>0.7</v>
      </c>
      <c r="I148" s="135">
        <v>0.35</v>
      </c>
      <c r="J148" s="136"/>
      <c r="K148" s="132"/>
      <c r="L148" s="104">
        <v>0.7</v>
      </c>
      <c r="M148" s="134">
        <f t="shared" si="28"/>
        <v>3.0379999999999998</v>
      </c>
      <c r="N148" s="134"/>
      <c r="O148" s="134"/>
      <c r="P148" s="135">
        <v>1</v>
      </c>
      <c r="Q148" s="132"/>
      <c r="R148" s="132"/>
      <c r="S148" s="132"/>
      <c r="T148" s="137"/>
      <c r="U148" s="104">
        <v>0.19</v>
      </c>
      <c r="V148" s="134">
        <f>(F148+I148+K148)*U148</f>
        <v>0.8246</v>
      </c>
      <c r="W148" s="139">
        <v>0.1</v>
      </c>
      <c r="X148" s="97">
        <v>0.22500000000000001</v>
      </c>
      <c r="Y148" s="134">
        <f t="shared" si="26"/>
        <v>1.1620350000000002</v>
      </c>
      <c r="Z148" s="134">
        <f t="shared" si="27"/>
        <v>26.125245899999996</v>
      </c>
      <c r="AA148" s="88"/>
      <c r="AB148" s="89"/>
      <c r="AC148" s="89"/>
      <c r="AD148" s="89"/>
      <c r="AE148" s="89"/>
      <c r="AF148" s="89"/>
    </row>
    <row r="149" spans="1:32" s="90" customFormat="1" x14ac:dyDescent="0.45">
      <c r="A149" s="129" t="s">
        <v>687</v>
      </c>
      <c r="B149" s="138" t="s">
        <v>688</v>
      </c>
      <c r="C149" s="131"/>
      <c r="D149" s="131"/>
      <c r="E149" s="97">
        <f t="shared" si="23"/>
        <v>6.1712499999999997</v>
      </c>
      <c r="F149" s="135">
        <f>3.34+0.31</f>
        <v>3.65</v>
      </c>
      <c r="G149" s="134">
        <f t="shared" si="25"/>
        <v>1.7</v>
      </c>
      <c r="H149" s="135">
        <v>0.7</v>
      </c>
      <c r="I149" s="135"/>
      <c r="J149" s="139"/>
      <c r="K149" s="132"/>
      <c r="L149" s="104"/>
      <c r="M149" s="134"/>
      <c r="N149" s="134"/>
      <c r="O149" s="134"/>
      <c r="P149" s="135">
        <v>1</v>
      </c>
      <c r="Q149" s="132"/>
      <c r="R149" s="132"/>
      <c r="S149" s="132"/>
      <c r="T149" s="137"/>
      <c r="U149" s="104"/>
      <c r="V149" s="134"/>
      <c r="W149" s="139"/>
      <c r="X149" s="97">
        <v>0.22500000000000001</v>
      </c>
      <c r="Y149" s="134">
        <f t="shared" si="26"/>
        <v>0.82125000000000004</v>
      </c>
      <c r="Z149" s="134">
        <f t="shared" si="27"/>
        <v>14.440724999999999</v>
      </c>
      <c r="AA149" s="88"/>
      <c r="AB149" s="89"/>
      <c r="AC149" s="89"/>
      <c r="AD149" s="89"/>
      <c r="AE149" s="89"/>
      <c r="AF149" s="89"/>
    </row>
    <row r="150" spans="1:32" s="90" customFormat="1" x14ac:dyDescent="0.45">
      <c r="A150" s="129" t="s">
        <v>689</v>
      </c>
      <c r="B150" s="138" t="s">
        <v>690</v>
      </c>
      <c r="C150" s="131"/>
      <c r="D150" s="131"/>
      <c r="E150" s="97">
        <f t="shared" si="23"/>
        <v>9.3876649999999984</v>
      </c>
      <c r="F150" s="135">
        <v>3.66</v>
      </c>
      <c r="G150" s="134">
        <f t="shared" si="25"/>
        <v>4.7504</v>
      </c>
      <c r="H150" s="135">
        <v>0.7</v>
      </c>
      <c r="I150" s="135">
        <v>0.15</v>
      </c>
      <c r="J150" s="136"/>
      <c r="K150" s="132"/>
      <c r="L150" s="104">
        <v>0.7</v>
      </c>
      <c r="M150" s="134">
        <f t="shared" si="28"/>
        <v>2.6669999999999998</v>
      </c>
      <c r="N150" s="134"/>
      <c r="O150" s="134"/>
      <c r="P150" s="135">
        <v>0.7</v>
      </c>
      <c r="Q150" s="132"/>
      <c r="R150" s="132"/>
      <c r="S150" s="132"/>
      <c r="T150" s="137"/>
      <c r="U150" s="104">
        <v>0.14000000000000001</v>
      </c>
      <c r="V150" s="134">
        <f t="shared" ref="V150:V155" si="29">(F150+I150+K150)*U150</f>
        <v>0.5334000000000001</v>
      </c>
      <c r="W150" s="136"/>
      <c r="X150" s="97">
        <v>0.22500000000000001</v>
      </c>
      <c r="Y150" s="134">
        <f t="shared" si="26"/>
        <v>0.97726500000000005</v>
      </c>
      <c r="Z150" s="134">
        <f t="shared" si="27"/>
        <v>21.967136099999994</v>
      </c>
      <c r="AA150" s="88"/>
      <c r="AB150" s="89"/>
      <c r="AC150" s="89"/>
      <c r="AD150" s="89"/>
      <c r="AE150" s="89"/>
      <c r="AF150" s="89"/>
    </row>
    <row r="151" spans="1:32" s="90" customFormat="1" x14ac:dyDescent="0.45">
      <c r="A151" s="129" t="s">
        <v>691</v>
      </c>
      <c r="B151" s="140" t="s">
        <v>692</v>
      </c>
      <c r="C151" s="131"/>
      <c r="D151" s="131"/>
      <c r="E151" s="97">
        <f t="shared" si="23"/>
        <v>8.7432249999999989</v>
      </c>
      <c r="F151" s="135">
        <v>3.34</v>
      </c>
      <c r="G151" s="134">
        <f t="shared" si="25"/>
        <v>4.5389999999999997</v>
      </c>
      <c r="H151" s="135">
        <v>0.7</v>
      </c>
      <c r="I151" s="135"/>
      <c r="J151" s="136"/>
      <c r="K151" s="132"/>
      <c r="L151" s="104">
        <v>0.7</v>
      </c>
      <c r="M151" s="134">
        <f t="shared" si="28"/>
        <v>2.3379999999999996</v>
      </c>
      <c r="N151" s="134"/>
      <c r="O151" s="134"/>
      <c r="P151" s="135">
        <v>1</v>
      </c>
      <c r="Q151" s="132"/>
      <c r="R151" s="132"/>
      <c r="S151" s="132"/>
      <c r="T151" s="137"/>
      <c r="U151" s="104">
        <v>0.15</v>
      </c>
      <c r="V151" s="134">
        <f t="shared" si="29"/>
        <v>0.501</v>
      </c>
      <c r="W151" s="136"/>
      <c r="X151" s="97">
        <v>0.22500000000000001</v>
      </c>
      <c r="Y151" s="134">
        <f t="shared" si="26"/>
        <v>0.86422499999999991</v>
      </c>
      <c r="Z151" s="134">
        <f t="shared" si="27"/>
        <v>20.459146499999996</v>
      </c>
      <c r="AA151" s="88"/>
      <c r="AB151" s="89"/>
      <c r="AC151" s="89"/>
      <c r="AD151" s="89"/>
      <c r="AE151" s="89"/>
      <c r="AF151" s="89"/>
    </row>
    <row r="152" spans="1:32" s="90" customFormat="1" x14ac:dyDescent="0.45">
      <c r="A152" s="129" t="s">
        <v>693</v>
      </c>
      <c r="B152" s="140" t="s">
        <v>694</v>
      </c>
      <c r="C152" s="131"/>
      <c r="D152" s="131"/>
      <c r="E152" s="97">
        <f t="shared" si="23"/>
        <v>9.8397750000000013</v>
      </c>
      <c r="F152" s="135">
        <v>3.66</v>
      </c>
      <c r="G152" s="134">
        <f t="shared" si="25"/>
        <v>5.181</v>
      </c>
      <c r="H152" s="135">
        <v>0.7</v>
      </c>
      <c r="I152" s="135">
        <v>0.2</v>
      </c>
      <c r="J152" s="136"/>
      <c r="K152" s="132"/>
      <c r="L152" s="104">
        <v>0.7</v>
      </c>
      <c r="M152" s="134">
        <f t="shared" si="28"/>
        <v>2.702</v>
      </c>
      <c r="N152" s="134"/>
      <c r="O152" s="134"/>
      <c r="P152" s="135">
        <v>1</v>
      </c>
      <c r="Q152" s="132"/>
      <c r="R152" s="132"/>
      <c r="S152" s="132"/>
      <c r="T152" s="137"/>
      <c r="U152" s="104">
        <v>0.15</v>
      </c>
      <c r="V152" s="134">
        <f t="shared" si="29"/>
        <v>0.57900000000000007</v>
      </c>
      <c r="W152" s="135"/>
      <c r="X152" s="97">
        <v>0.22500000000000001</v>
      </c>
      <c r="Y152" s="134">
        <f t="shared" si="26"/>
        <v>0.99877500000000008</v>
      </c>
      <c r="Z152" s="134">
        <f t="shared" si="27"/>
        <v>23.025073500000001</v>
      </c>
      <c r="AA152" s="88"/>
      <c r="AB152" s="89"/>
      <c r="AC152" s="89"/>
      <c r="AD152" s="89"/>
      <c r="AE152" s="89"/>
      <c r="AF152" s="89"/>
    </row>
    <row r="153" spans="1:32" s="90" customFormat="1" x14ac:dyDescent="0.45">
      <c r="A153" s="129" t="s">
        <v>695</v>
      </c>
      <c r="B153" s="138" t="s">
        <v>696</v>
      </c>
      <c r="C153" s="131"/>
      <c r="D153" s="131"/>
      <c r="E153" s="97">
        <f t="shared" si="23"/>
        <v>9.6204999999999998</v>
      </c>
      <c r="F153" s="135">
        <f>3.34+0.31</f>
        <v>3.65</v>
      </c>
      <c r="G153" s="134">
        <f t="shared" si="25"/>
        <v>4.9849999999999994</v>
      </c>
      <c r="H153" s="135">
        <v>0.7</v>
      </c>
      <c r="I153" s="135"/>
      <c r="J153" s="136"/>
      <c r="K153" s="132"/>
      <c r="L153" s="104">
        <v>0.7</v>
      </c>
      <c r="M153" s="134">
        <f t="shared" si="28"/>
        <v>2.5549999999999997</v>
      </c>
      <c r="N153" s="134"/>
      <c r="O153" s="134"/>
      <c r="P153" s="135">
        <v>1</v>
      </c>
      <c r="Q153" s="132"/>
      <c r="R153" s="132"/>
      <c r="S153" s="132"/>
      <c r="T153" s="137"/>
      <c r="U153" s="104">
        <v>0.2</v>
      </c>
      <c r="V153" s="134">
        <f t="shared" si="29"/>
        <v>0.73</v>
      </c>
      <c r="W153" s="135"/>
      <c r="X153" s="97">
        <v>0.22500000000000001</v>
      </c>
      <c r="Y153" s="134">
        <f t="shared" si="26"/>
        <v>0.98550000000000004</v>
      </c>
      <c r="Z153" s="134">
        <f t="shared" si="27"/>
        <v>22.511969999999998</v>
      </c>
      <c r="AA153" s="88"/>
      <c r="AB153" s="89"/>
      <c r="AC153" s="89"/>
      <c r="AD153" s="89"/>
      <c r="AE153" s="89"/>
      <c r="AF153" s="89"/>
    </row>
    <row r="154" spans="1:32" s="90" customFormat="1" x14ac:dyDescent="0.45">
      <c r="A154" s="129" t="s">
        <v>697</v>
      </c>
      <c r="B154" s="138" t="s">
        <v>698</v>
      </c>
      <c r="C154" s="131"/>
      <c r="D154" s="131"/>
      <c r="E154" s="97">
        <f t="shared" si="23"/>
        <v>5.9868625000000009</v>
      </c>
      <c r="F154" s="135">
        <v>2.41</v>
      </c>
      <c r="G154" s="134">
        <f t="shared" si="25"/>
        <v>3.0074999999999998</v>
      </c>
      <c r="H154" s="135">
        <v>0.7</v>
      </c>
      <c r="I154" s="135"/>
      <c r="J154" s="136"/>
      <c r="K154" s="132"/>
      <c r="L154" s="104">
        <v>0.7</v>
      </c>
      <c r="M154" s="134">
        <f t="shared" si="28"/>
        <v>1.6870000000000001</v>
      </c>
      <c r="N154" s="134"/>
      <c r="O154" s="134"/>
      <c r="P154" s="135">
        <v>0.5</v>
      </c>
      <c r="Q154" s="132"/>
      <c r="R154" s="132"/>
      <c r="S154" s="132"/>
      <c r="T154" s="137"/>
      <c r="U154" s="104">
        <v>0.05</v>
      </c>
      <c r="V154" s="134">
        <f t="shared" si="29"/>
        <v>0.12050000000000001</v>
      </c>
      <c r="W154" s="135"/>
      <c r="X154" s="97">
        <v>0.22500000000000001</v>
      </c>
      <c r="Y154" s="134">
        <f t="shared" si="26"/>
        <v>0.56936249999999999</v>
      </c>
      <c r="Z154" s="134">
        <f t="shared" si="27"/>
        <v>14.009258250000002</v>
      </c>
      <c r="AA154" s="88"/>
      <c r="AB154" s="89"/>
      <c r="AC154" s="89"/>
      <c r="AD154" s="89"/>
      <c r="AE154" s="89"/>
      <c r="AF154" s="89"/>
    </row>
    <row r="155" spans="1:32" s="90" customFormat="1" x14ac:dyDescent="0.45">
      <c r="A155" s="129" t="s">
        <v>699</v>
      </c>
      <c r="B155" s="138" t="s">
        <v>700</v>
      </c>
      <c r="C155" s="131"/>
      <c r="D155" s="131"/>
      <c r="E155" s="97">
        <f t="shared" si="23"/>
        <v>9.5973649999999999</v>
      </c>
      <c r="F155" s="135">
        <v>3.66</v>
      </c>
      <c r="G155" s="134">
        <f t="shared" si="25"/>
        <v>4.9573999999999998</v>
      </c>
      <c r="H155" s="135">
        <v>0.7</v>
      </c>
      <c r="I155" s="135"/>
      <c r="J155" s="136"/>
      <c r="K155" s="132"/>
      <c r="L155" s="104">
        <v>0.7</v>
      </c>
      <c r="M155" s="134">
        <f t="shared" si="28"/>
        <v>2.5619999999999998</v>
      </c>
      <c r="N155" s="134"/>
      <c r="O155" s="134"/>
      <c r="P155" s="135">
        <v>1</v>
      </c>
      <c r="Q155" s="132"/>
      <c r="R155" s="132"/>
      <c r="S155" s="132"/>
      <c r="T155" s="137"/>
      <c r="U155" s="104">
        <v>0.19</v>
      </c>
      <c r="V155" s="134">
        <f t="shared" si="29"/>
        <v>0.69540000000000002</v>
      </c>
      <c r="W155" s="135"/>
      <c r="X155" s="97">
        <v>0.22500000000000001</v>
      </c>
      <c r="Y155" s="134">
        <f t="shared" si="26"/>
        <v>0.97996500000000009</v>
      </c>
      <c r="Z155" s="134">
        <f t="shared" si="27"/>
        <v>22.457834099999999</v>
      </c>
      <c r="AA155" s="88"/>
      <c r="AB155" s="89"/>
      <c r="AC155" s="89"/>
      <c r="AD155" s="89"/>
      <c r="AE155" s="89"/>
      <c r="AF155" s="89"/>
    </row>
    <row r="156" spans="1:32" s="90" customFormat="1" x14ac:dyDescent="0.45">
      <c r="A156" s="129" t="s">
        <v>701</v>
      </c>
      <c r="B156" s="138" t="s">
        <v>702</v>
      </c>
      <c r="C156" s="131"/>
      <c r="D156" s="131"/>
      <c r="E156" s="97">
        <f t="shared" si="23"/>
        <v>7.0262500000000001</v>
      </c>
      <c r="F156" s="135">
        <v>2.41</v>
      </c>
      <c r="G156" s="134">
        <f t="shared" si="25"/>
        <v>4.0739999999999998</v>
      </c>
      <c r="H156" s="135">
        <v>0.7</v>
      </c>
      <c r="I156" s="135"/>
      <c r="J156" s="136"/>
      <c r="K156" s="132"/>
      <c r="L156" s="104">
        <v>0.7</v>
      </c>
      <c r="M156" s="134">
        <f t="shared" si="28"/>
        <v>1.6870000000000001</v>
      </c>
      <c r="N156" s="104">
        <v>0.7</v>
      </c>
      <c r="O156" s="134">
        <f>N156*(F156+I156+K156)</f>
        <v>1.6870000000000001</v>
      </c>
      <c r="P156" s="135"/>
      <c r="Q156" s="132"/>
      <c r="R156" s="132"/>
      <c r="S156" s="132"/>
      <c r="T156" s="137"/>
      <c r="U156" s="104"/>
      <c r="V156" s="134"/>
      <c r="W156" s="135"/>
      <c r="X156" s="97">
        <v>0.22500000000000001</v>
      </c>
      <c r="Y156" s="134">
        <f t="shared" si="26"/>
        <v>0.54225000000000001</v>
      </c>
      <c r="Z156" s="134">
        <f t="shared" si="27"/>
        <v>16.441424999999999</v>
      </c>
      <c r="AA156" s="88"/>
      <c r="AB156" s="89"/>
      <c r="AC156" s="89"/>
      <c r="AD156" s="89"/>
      <c r="AE156" s="89"/>
      <c r="AF156" s="89"/>
    </row>
    <row r="157" spans="1:32" s="90" customFormat="1" x14ac:dyDescent="0.45">
      <c r="A157" s="129" t="s">
        <v>703</v>
      </c>
      <c r="B157" s="138" t="s">
        <v>704</v>
      </c>
      <c r="C157" s="131"/>
      <c r="D157" s="131"/>
      <c r="E157" s="97">
        <f t="shared" si="23"/>
        <v>6.2125000000000004</v>
      </c>
      <c r="F157" s="135">
        <v>2.1</v>
      </c>
      <c r="G157" s="134">
        <f t="shared" si="25"/>
        <v>3.6399999999999997</v>
      </c>
      <c r="H157" s="135">
        <v>0.7</v>
      </c>
      <c r="I157" s="135"/>
      <c r="J157" s="136"/>
      <c r="K157" s="132"/>
      <c r="L157" s="104">
        <v>0.7</v>
      </c>
      <c r="M157" s="134">
        <f t="shared" si="28"/>
        <v>1.47</v>
      </c>
      <c r="N157" s="104">
        <v>0.7</v>
      </c>
      <c r="O157" s="134">
        <f>N157*(F157+I157+K157)</f>
        <v>1.47</v>
      </c>
      <c r="P157" s="135"/>
      <c r="Q157" s="132"/>
      <c r="R157" s="132"/>
      <c r="S157" s="132"/>
      <c r="T157" s="137"/>
      <c r="U157" s="136"/>
      <c r="V157" s="134"/>
      <c r="W157" s="135"/>
      <c r="X157" s="97">
        <v>0.22500000000000001</v>
      </c>
      <c r="Y157" s="134">
        <f t="shared" si="26"/>
        <v>0.47250000000000003</v>
      </c>
      <c r="Z157" s="134">
        <f t="shared" si="27"/>
        <v>14.53725</v>
      </c>
      <c r="AA157" s="88"/>
      <c r="AB157" s="89"/>
      <c r="AC157" s="89"/>
      <c r="AD157" s="89"/>
      <c r="AE157" s="89"/>
      <c r="AF157" s="89"/>
    </row>
    <row r="158" spans="1:32" s="90" customFormat="1" x14ac:dyDescent="0.45">
      <c r="A158" s="129" t="s">
        <v>705</v>
      </c>
      <c r="B158" s="138" t="s">
        <v>706</v>
      </c>
      <c r="C158" s="131"/>
      <c r="D158" s="131"/>
      <c r="E158" s="97">
        <f t="shared" si="23"/>
        <v>6.2125000000000004</v>
      </c>
      <c r="F158" s="135">
        <v>2.1</v>
      </c>
      <c r="G158" s="134">
        <f t="shared" si="25"/>
        <v>3.6399999999999997</v>
      </c>
      <c r="H158" s="135">
        <v>0.7</v>
      </c>
      <c r="I158" s="135"/>
      <c r="J158" s="136"/>
      <c r="K158" s="132"/>
      <c r="L158" s="104">
        <v>0.7</v>
      </c>
      <c r="M158" s="134">
        <f t="shared" si="28"/>
        <v>1.47</v>
      </c>
      <c r="N158" s="104">
        <v>0.7</v>
      </c>
      <c r="O158" s="134">
        <f>N158*(F158+I158+K158)</f>
        <v>1.47</v>
      </c>
      <c r="P158" s="135"/>
      <c r="Q158" s="132"/>
      <c r="R158" s="132"/>
      <c r="S158" s="132"/>
      <c r="T158" s="137"/>
      <c r="U158" s="136"/>
      <c r="V158" s="134"/>
      <c r="W158" s="135"/>
      <c r="X158" s="97">
        <v>0.22500000000000001</v>
      </c>
      <c r="Y158" s="134">
        <f t="shared" si="26"/>
        <v>0.47250000000000003</v>
      </c>
      <c r="Z158" s="134">
        <f t="shared" si="27"/>
        <v>14.53725</v>
      </c>
      <c r="AA158" s="88"/>
      <c r="AB158" s="89"/>
      <c r="AC158" s="89"/>
      <c r="AD158" s="89"/>
      <c r="AE158" s="89"/>
      <c r="AF158" s="89"/>
    </row>
    <row r="159" spans="1:32" s="90" customFormat="1" x14ac:dyDescent="0.45">
      <c r="A159" s="129" t="s">
        <v>707</v>
      </c>
      <c r="B159" s="138" t="s">
        <v>708</v>
      </c>
      <c r="C159" s="131"/>
      <c r="D159" s="131"/>
      <c r="E159" s="97">
        <f t="shared" si="23"/>
        <v>6.2125000000000004</v>
      </c>
      <c r="F159" s="135">
        <v>2.1</v>
      </c>
      <c r="G159" s="134">
        <f t="shared" si="25"/>
        <v>3.6399999999999997</v>
      </c>
      <c r="H159" s="135">
        <v>0.7</v>
      </c>
      <c r="I159" s="135"/>
      <c r="J159" s="136"/>
      <c r="K159" s="132"/>
      <c r="L159" s="104">
        <v>0.7</v>
      </c>
      <c r="M159" s="134">
        <f t="shared" si="28"/>
        <v>1.47</v>
      </c>
      <c r="N159" s="104">
        <v>0.7</v>
      </c>
      <c r="O159" s="134">
        <f>N159*(F159+I159+K159)</f>
        <v>1.47</v>
      </c>
      <c r="P159" s="135"/>
      <c r="Q159" s="132"/>
      <c r="R159" s="132"/>
      <c r="S159" s="132"/>
      <c r="T159" s="137"/>
      <c r="U159" s="136"/>
      <c r="V159" s="134"/>
      <c r="W159" s="135"/>
      <c r="X159" s="97">
        <v>0.22500000000000001</v>
      </c>
      <c r="Y159" s="134">
        <f t="shared" si="26"/>
        <v>0.47250000000000003</v>
      </c>
      <c r="Z159" s="134">
        <f t="shared" si="27"/>
        <v>14.53725</v>
      </c>
      <c r="AA159" s="88"/>
      <c r="AB159" s="89"/>
      <c r="AC159" s="89"/>
      <c r="AD159" s="89"/>
      <c r="AE159" s="89"/>
      <c r="AF159" s="89"/>
    </row>
    <row r="160" spans="1:32" s="90" customFormat="1" x14ac:dyDescent="0.45">
      <c r="A160" s="129" t="s">
        <v>709</v>
      </c>
      <c r="B160" s="138" t="s">
        <v>710</v>
      </c>
      <c r="C160" s="131"/>
      <c r="D160" s="131"/>
      <c r="E160" s="97">
        <f t="shared" si="23"/>
        <v>7.0262500000000001</v>
      </c>
      <c r="F160" s="135">
        <v>2.41</v>
      </c>
      <c r="G160" s="134">
        <f t="shared" si="25"/>
        <v>4.0739999999999998</v>
      </c>
      <c r="H160" s="135">
        <v>0.7</v>
      </c>
      <c r="I160" s="135"/>
      <c r="J160" s="136"/>
      <c r="K160" s="132"/>
      <c r="L160" s="104">
        <v>0.7</v>
      </c>
      <c r="M160" s="134">
        <f t="shared" si="28"/>
        <v>1.6870000000000001</v>
      </c>
      <c r="N160" s="104">
        <v>0.7</v>
      </c>
      <c r="O160" s="134">
        <f>N160*(F160+I160+K160)</f>
        <v>1.6870000000000001</v>
      </c>
      <c r="P160" s="135"/>
      <c r="Q160" s="132"/>
      <c r="R160" s="132"/>
      <c r="S160" s="132"/>
      <c r="T160" s="137"/>
      <c r="U160" s="136"/>
      <c r="V160" s="134"/>
      <c r="W160" s="135"/>
      <c r="X160" s="97">
        <v>0.22500000000000001</v>
      </c>
      <c r="Y160" s="134">
        <f t="shared" si="26"/>
        <v>0.54225000000000001</v>
      </c>
      <c r="Z160" s="134">
        <f t="shared" si="27"/>
        <v>16.441424999999999</v>
      </c>
      <c r="AA160" s="88"/>
      <c r="AB160" s="89"/>
      <c r="AC160" s="89"/>
      <c r="AD160" s="89"/>
      <c r="AE160" s="89"/>
      <c r="AF160" s="89"/>
    </row>
    <row r="161" spans="1:32" s="90" customFormat="1" x14ac:dyDescent="0.45">
      <c r="A161" s="129" t="s">
        <v>711</v>
      </c>
      <c r="B161" s="138" t="s">
        <v>712</v>
      </c>
      <c r="C161" s="131"/>
      <c r="D161" s="131"/>
      <c r="E161" s="97">
        <f t="shared" si="23"/>
        <v>3.7234999999999996</v>
      </c>
      <c r="F161" s="135">
        <v>2.06</v>
      </c>
      <c r="G161" s="134">
        <f t="shared" si="25"/>
        <v>1.2</v>
      </c>
      <c r="H161" s="135">
        <v>0.7</v>
      </c>
      <c r="I161" s="135"/>
      <c r="J161" s="136"/>
      <c r="K161" s="132"/>
      <c r="L161" s="134"/>
      <c r="M161" s="134"/>
      <c r="N161" s="134"/>
      <c r="O161" s="134"/>
      <c r="P161" s="135">
        <v>0.5</v>
      </c>
      <c r="Q161" s="132"/>
      <c r="R161" s="132"/>
      <c r="S161" s="132"/>
      <c r="T161" s="137"/>
      <c r="U161" s="136"/>
      <c r="V161" s="134"/>
      <c r="W161" s="132"/>
      <c r="X161" s="97">
        <v>0.22500000000000001</v>
      </c>
      <c r="Y161" s="134">
        <f t="shared" si="26"/>
        <v>0.46350000000000002</v>
      </c>
      <c r="Z161" s="134">
        <f t="shared" si="27"/>
        <v>8.7129899999999978</v>
      </c>
      <c r="AA161" s="88"/>
      <c r="AB161" s="89"/>
      <c r="AC161" s="89"/>
      <c r="AD161" s="89"/>
      <c r="AE161" s="89"/>
      <c r="AF161" s="89"/>
    </row>
    <row r="162" spans="1:32" s="70" customFormat="1" ht="25.5" x14ac:dyDescent="0.45">
      <c r="A162" s="415"/>
      <c r="B162" s="130" t="s">
        <v>713</v>
      </c>
      <c r="C162" s="131">
        <v>47</v>
      </c>
      <c r="D162" s="131">
        <v>44</v>
      </c>
      <c r="E162" s="132">
        <f>SUM(E163:E206)</f>
        <v>411.2960374999999</v>
      </c>
      <c r="F162" s="132">
        <f>SUM(F163:F206)</f>
        <v>153.48000000000008</v>
      </c>
      <c r="G162" s="132">
        <f t="shared" ref="G162:Z162" si="30">SUM(G163:G206)</f>
        <v>218.47850000000005</v>
      </c>
      <c r="H162" s="132">
        <f t="shared" si="30"/>
        <v>30.299999999999979</v>
      </c>
      <c r="I162" s="132">
        <f t="shared" si="30"/>
        <v>3.2500000000000004</v>
      </c>
      <c r="J162" s="132">
        <f t="shared" si="30"/>
        <v>0</v>
      </c>
      <c r="K162" s="132">
        <f t="shared" si="30"/>
        <v>0</v>
      </c>
      <c r="L162" s="132">
        <f t="shared" si="30"/>
        <v>29.399999999999981</v>
      </c>
      <c r="M162" s="132">
        <f t="shared" si="30"/>
        <v>103.83100000000002</v>
      </c>
      <c r="N162" s="132">
        <f t="shared" si="30"/>
        <v>10.499999999999998</v>
      </c>
      <c r="O162" s="132">
        <f t="shared" si="30"/>
        <v>25.493999999999993</v>
      </c>
      <c r="P162" s="132">
        <f t="shared" si="30"/>
        <v>24.999999999999993</v>
      </c>
      <c r="Q162" s="132">
        <f t="shared" si="30"/>
        <v>0</v>
      </c>
      <c r="R162" s="132">
        <f t="shared" si="30"/>
        <v>0</v>
      </c>
      <c r="S162" s="132">
        <f t="shared" si="30"/>
        <v>0</v>
      </c>
      <c r="T162" s="132">
        <f t="shared" si="30"/>
        <v>0</v>
      </c>
      <c r="U162" s="132">
        <f t="shared" si="30"/>
        <v>4.1500000000000004</v>
      </c>
      <c r="V162" s="132">
        <f t="shared" si="30"/>
        <v>18.1035</v>
      </c>
      <c r="W162" s="132">
        <f t="shared" si="30"/>
        <v>12.500000000000007</v>
      </c>
      <c r="X162" s="132">
        <f t="shared" si="30"/>
        <v>9.8999999999999915</v>
      </c>
      <c r="Y162" s="132">
        <f t="shared" si="30"/>
        <v>39.337537499999989</v>
      </c>
      <c r="Z162" s="132">
        <f t="shared" si="30"/>
        <v>962.43272774999957</v>
      </c>
      <c r="AA162" s="141"/>
      <c r="AB162" s="93">
        <f>E162*12*2.34</f>
        <v>11549.192732999998</v>
      </c>
      <c r="AC162" s="93">
        <f>F162*10%*2.34*12</f>
        <v>430.97184000000021</v>
      </c>
      <c r="AD162" s="101"/>
      <c r="AE162" s="101"/>
      <c r="AF162" s="101"/>
    </row>
    <row r="163" spans="1:32" s="90" customFormat="1" x14ac:dyDescent="0.45">
      <c r="A163" s="129" t="s">
        <v>714</v>
      </c>
      <c r="B163" s="140" t="s">
        <v>715</v>
      </c>
      <c r="C163" s="131"/>
      <c r="D163" s="131"/>
      <c r="E163" s="97">
        <f t="shared" si="23"/>
        <v>14.428062499999999</v>
      </c>
      <c r="F163" s="135">
        <v>5.0199999999999996</v>
      </c>
      <c r="G163" s="134">
        <f>H163+I163+K163+M163+O163+P163+V163+W163</f>
        <v>7.841499999999999</v>
      </c>
      <c r="H163" s="135">
        <v>0.7</v>
      </c>
      <c r="I163" s="135">
        <v>0.55000000000000004</v>
      </c>
      <c r="J163" s="136"/>
      <c r="K163" s="132"/>
      <c r="L163" s="104">
        <v>0.7</v>
      </c>
      <c r="M163" s="134">
        <f>(F163+I163+K163)*L163</f>
        <v>3.8989999999999991</v>
      </c>
      <c r="N163" s="104"/>
      <c r="O163" s="134"/>
      <c r="P163" s="135">
        <v>1</v>
      </c>
      <c r="Q163" s="132"/>
      <c r="R163" s="132"/>
      <c r="S163" s="132"/>
      <c r="T163" s="137"/>
      <c r="U163" s="104">
        <v>0.25</v>
      </c>
      <c r="V163" s="134">
        <f>(F163+I163+K163)*U163</f>
        <v>1.3924999999999998</v>
      </c>
      <c r="W163" s="135">
        <v>0.3</v>
      </c>
      <c r="X163" s="97">
        <v>0.22500000000000001</v>
      </c>
      <c r="Y163" s="134">
        <f>X163*(F163+I163+K163+V163)</f>
        <v>1.5665624999999999</v>
      </c>
      <c r="Z163" s="134">
        <f>E163*2.34</f>
        <v>33.761666249999998</v>
      </c>
      <c r="AA163" s="88"/>
      <c r="AB163" s="89"/>
      <c r="AC163" s="89"/>
      <c r="AD163" s="89"/>
      <c r="AE163" s="89"/>
      <c r="AF163" s="89"/>
    </row>
    <row r="164" spans="1:32" s="90" customFormat="1" x14ac:dyDescent="0.45">
      <c r="A164" s="129" t="s">
        <v>716</v>
      </c>
      <c r="B164" s="138" t="s">
        <v>717</v>
      </c>
      <c r="C164" s="131"/>
      <c r="D164" s="131"/>
      <c r="E164" s="97">
        <f t="shared" si="23"/>
        <v>12.394299999999999</v>
      </c>
      <c r="F164" s="135">
        <v>4.34</v>
      </c>
      <c r="G164" s="134">
        <f t="shared" ref="G164:G207" si="31">H164+I164+K164+M164+O164+P164+V164+W164</f>
        <v>6.7610000000000001</v>
      </c>
      <c r="H164" s="135">
        <v>0.7</v>
      </c>
      <c r="I164" s="135">
        <v>0.45</v>
      </c>
      <c r="J164" s="136"/>
      <c r="K164" s="132"/>
      <c r="L164" s="104">
        <v>0.7</v>
      </c>
      <c r="M164" s="134">
        <f t="shared" ref="M164:M206" si="32">(F164+I164+K164)*L164</f>
        <v>3.3529999999999998</v>
      </c>
      <c r="N164" s="104"/>
      <c r="O164" s="134"/>
      <c r="P164" s="135">
        <v>1</v>
      </c>
      <c r="Q164" s="132"/>
      <c r="R164" s="132"/>
      <c r="S164" s="132"/>
      <c r="T164" s="137"/>
      <c r="U164" s="104">
        <v>0.2</v>
      </c>
      <c r="V164" s="134">
        <f t="shared" ref="V164:V206" si="33">(F164+I164+K164)*U164</f>
        <v>0.95800000000000007</v>
      </c>
      <c r="W164" s="135">
        <v>0.3</v>
      </c>
      <c r="X164" s="97">
        <v>0.22500000000000001</v>
      </c>
      <c r="Y164" s="134">
        <f t="shared" ref="Y164:Y205" si="34">X164*(F164+I164+K164+V164)</f>
        <v>1.2933000000000001</v>
      </c>
      <c r="Z164" s="134">
        <f>E164*2.34</f>
        <v>29.002661999999997</v>
      </c>
      <c r="AA164" s="88"/>
      <c r="AB164" s="382">
        <f>SUM(F163:F206)</f>
        <v>153.48000000000008</v>
      </c>
      <c r="AC164" s="382">
        <f>AB164*10%*2.34*12</f>
        <v>430.97184000000021</v>
      </c>
      <c r="AD164" s="89"/>
      <c r="AE164" s="89"/>
      <c r="AF164" s="89"/>
    </row>
    <row r="165" spans="1:32" s="90" customFormat="1" x14ac:dyDescent="0.45">
      <c r="A165" s="129" t="s">
        <v>718</v>
      </c>
      <c r="B165" s="138" t="s">
        <v>719</v>
      </c>
      <c r="C165" s="131"/>
      <c r="D165" s="131"/>
      <c r="E165" s="97">
        <f t="shared" si="23"/>
        <v>12.335622500000001</v>
      </c>
      <c r="F165" s="135">
        <v>4.34</v>
      </c>
      <c r="G165" s="134">
        <f t="shared" si="31"/>
        <v>6.7130999999999998</v>
      </c>
      <c r="H165" s="135">
        <v>0.7</v>
      </c>
      <c r="I165" s="135">
        <v>0.45</v>
      </c>
      <c r="J165" s="136"/>
      <c r="K165" s="132"/>
      <c r="L165" s="104">
        <v>0.7</v>
      </c>
      <c r="M165" s="134">
        <f t="shared" si="32"/>
        <v>3.3529999999999998</v>
      </c>
      <c r="N165" s="104"/>
      <c r="O165" s="134"/>
      <c r="P165" s="135">
        <v>1</v>
      </c>
      <c r="Q165" s="132"/>
      <c r="R165" s="132"/>
      <c r="S165" s="132"/>
      <c r="T165" s="137"/>
      <c r="U165" s="104">
        <v>0.19</v>
      </c>
      <c r="V165" s="134">
        <f t="shared" si="33"/>
        <v>0.91010000000000002</v>
      </c>
      <c r="W165" s="135">
        <v>0.3</v>
      </c>
      <c r="X165" s="97">
        <v>0.22500000000000001</v>
      </c>
      <c r="Y165" s="134">
        <f t="shared" si="34"/>
        <v>1.2825225</v>
      </c>
      <c r="Z165" s="134">
        <f t="shared" ref="Z165:Z206" si="35">E165*2.34</f>
        <v>28.865356650000003</v>
      </c>
      <c r="AA165" s="88"/>
      <c r="AB165" s="89"/>
      <c r="AC165" s="89"/>
      <c r="AD165" s="89"/>
      <c r="AE165" s="89"/>
      <c r="AF165" s="89"/>
    </row>
    <row r="166" spans="1:32" s="90" customFormat="1" x14ac:dyDescent="0.45">
      <c r="A166" s="129" t="s">
        <v>720</v>
      </c>
      <c r="B166" s="138" t="s">
        <v>721</v>
      </c>
      <c r="C166" s="131"/>
      <c r="D166" s="131"/>
      <c r="E166" s="97">
        <f t="shared" si="23"/>
        <v>12.163019999999999</v>
      </c>
      <c r="F166" s="135">
        <v>4.58</v>
      </c>
      <c r="G166" s="134">
        <f t="shared" si="31"/>
        <v>6.3051999999999992</v>
      </c>
      <c r="H166" s="135">
        <v>0.7</v>
      </c>
      <c r="I166" s="135"/>
      <c r="J166" s="136"/>
      <c r="K166" s="132"/>
      <c r="L166" s="104">
        <v>0.7</v>
      </c>
      <c r="M166" s="134">
        <f t="shared" si="32"/>
        <v>3.206</v>
      </c>
      <c r="N166" s="104"/>
      <c r="O166" s="134"/>
      <c r="P166" s="135">
        <v>1</v>
      </c>
      <c r="Q166" s="132"/>
      <c r="R166" s="132"/>
      <c r="S166" s="132"/>
      <c r="T166" s="137"/>
      <c r="U166" s="104">
        <v>0.24</v>
      </c>
      <c r="V166" s="134">
        <f t="shared" si="33"/>
        <v>1.0992</v>
      </c>
      <c r="W166" s="135">
        <v>0.3</v>
      </c>
      <c r="X166" s="97">
        <v>0.22500000000000001</v>
      </c>
      <c r="Y166" s="134">
        <f t="shared" si="34"/>
        <v>1.27782</v>
      </c>
      <c r="Z166" s="134">
        <f t="shared" si="35"/>
        <v>28.461466799999997</v>
      </c>
      <c r="AA166" s="88"/>
      <c r="AB166" s="89"/>
      <c r="AC166" s="89"/>
      <c r="AD166" s="89"/>
      <c r="AE166" s="89"/>
      <c r="AF166" s="89"/>
    </row>
    <row r="167" spans="1:32" s="90" customFormat="1" x14ac:dyDescent="0.45">
      <c r="A167" s="129" t="s">
        <v>722</v>
      </c>
      <c r="B167" s="138" t="s">
        <v>723</v>
      </c>
      <c r="C167" s="131"/>
      <c r="D167" s="131"/>
      <c r="E167" s="97">
        <f t="shared" si="23"/>
        <v>11.470965000000001</v>
      </c>
      <c r="F167" s="135">
        <v>4.34</v>
      </c>
      <c r="G167" s="134">
        <f t="shared" si="31"/>
        <v>5.9493999999999998</v>
      </c>
      <c r="H167" s="135">
        <v>0.7</v>
      </c>
      <c r="I167" s="135"/>
      <c r="J167" s="136"/>
      <c r="K167" s="132"/>
      <c r="L167" s="104">
        <v>0.7</v>
      </c>
      <c r="M167" s="134">
        <f t="shared" si="32"/>
        <v>3.0379999999999998</v>
      </c>
      <c r="N167" s="104"/>
      <c r="O167" s="134"/>
      <c r="P167" s="135">
        <v>1</v>
      </c>
      <c r="Q167" s="132"/>
      <c r="R167" s="132"/>
      <c r="S167" s="132"/>
      <c r="T167" s="137"/>
      <c r="U167" s="104">
        <v>0.21</v>
      </c>
      <c r="V167" s="134">
        <f t="shared" si="33"/>
        <v>0.91139999999999999</v>
      </c>
      <c r="W167" s="135">
        <v>0.3</v>
      </c>
      <c r="X167" s="97">
        <v>0.22500000000000001</v>
      </c>
      <c r="Y167" s="134">
        <f t="shared" si="34"/>
        <v>1.1815650000000002</v>
      </c>
      <c r="Z167" s="134">
        <f t="shared" si="35"/>
        <v>26.842058100000003</v>
      </c>
      <c r="AA167" s="88"/>
      <c r="AB167" s="89"/>
      <c r="AC167" s="89"/>
      <c r="AD167" s="89"/>
      <c r="AE167" s="89"/>
      <c r="AF167" s="89"/>
    </row>
    <row r="168" spans="1:32" s="90" customFormat="1" x14ac:dyDescent="0.45">
      <c r="A168" s="129" t="s">
        <v>724</v>
      </c>
      <c r="B168" s="138" t="s">
        <v>725</v>
      </c>
      <c r="C168" s="131"/>
      <c r="D168" s="131"/>
      <c r="E168" s="97">
        <f t="shared" si="23"/>
        <v>11.74057</v>
      </c>
      <c r="F168" s="135">
        <v>4.34</v>
      </c>
      <c r="G168" s="134">
        <f t="shared" si="31"/>
        <v>6.1951999999999989</v>
      </c>
      <c r="H168" s="135">
        <v>0.7</v>
      </c>
      <c r="I168" s="135">
        <v>0.2</v>
      </c>
      <c r="J168" s="136"/>
      <c r="K168" s="132"/>
      <c r="L168" s="104">
        <v>0.7</v>
      </c>
      <c r="M168" s="134">
        <f t="shared" si="32"/>
        <v>3.1779999999999999</v>
      </c>
      <c r="N168" s="104"/>
      <c r="O168" s="134"/>
      <c r="P168" s="135">
        <v>1</v>
      </c>
      <c r="Q168" s="132"/>
      <c r="R168" s="132"/>
      <c r="S168" s="132"/>
      <c r="T168" s="137"/>
      <c r="U168" s="104">
        <v>0.18</v>
      </c>
      <c r="V168" s="134">
        <f t="shared" si="33"/>
        <v>0.81719999999999993</v>
      </c>
      <c r="W168" s="135">
        <v>0.3</v>
      </c>
      <c r="X168" s="97">
        <v>0.22500000000000001</v>
      </c>
      <c r="Y168" s="134">
        <f t="shared" si="34"/>
        <v>1.2053700000000001</v>
      </c>
      <c r="Z168" s="134">
        <f t="shared" si="35"/>
        <v>27.4729338</v>
      </c>
      <c r="AA168" s="88"/>
      <c r="AB168" s="89"/>
      <c r="AC168" s="89"/>
      <c r="AD168" s="89"/>
      <c r="AE168" s="89"/>
      <c r="AF168" s="89"/>
    </row>
    <row r="169" spans="1:32" s="90" customFormat="1" x14ac:dyDescent="0.45">
      <c r="A169" s="129" t="s">
        <v>726</v>
      </c>
      <c r="B169" s="138" t="s">
        <v>727</v>
      </c>
      <c r="C169" s="131"/>
      <c r="D169" s="131"/>
      <c r="E169" s="97">
        <f t="shared" si="23"/>
        <v>11.633295</v>
      </c>
      <c r="F169" s="135">
        <v>4.34</v>
      </c>
      <c r="G169" s="134">
        <f t="shared" si="31"/>
        <v>6.1012000000000004</v>
      </c>
      <c r="H169" s="135">
        <v>0.7</v>
      </c>
      <c r="I169" s="135">
        <v>0.15</v>
      </c>
      <c r="J169" s="136"/>
      <c r="K169" s="132"/>
      <c r="L169" s="104">
        <v>0.7</v>
      </c>
      <c r="M169" s="134">
        <f t="shared" si="32"/>
        <v>3.1429999999999998</v>
      </c>
      <c r="N169" s="104"/>
      <c r="O169" s="134"/>
      <c r="P169" s="135">
        <v>1</v>
      </c>
      <c r="Q169" s="132"/>
      <c r="R169" s="132"/>
      <c r="S169" s="132"/>
      <c r="T169" s="137"/>
      <c r="U169" s="104">
        <v>0.18</v>
      </c>
      <c r="V169" s="134">
        <f t="shared" si="33"/>
        <v>0.80820000000000003</v>
      </c>
      <c r="W169" s="135">
        <v>0.3</v>
      </c>
      <c r="X169" s="97">
        <v>0.22500000000000001</v>
      </c>
      <c r="Y169" s="134">
        <f t="shared" si="34"/>
        <v>1.1920950000000001</v>
      </c>
      <c r="Z169" s="134">
        <f t="shared" si="35"/>
        <v>27.221910299999998</v>
      </c>
      <c r="AA169" s="88"/>
      <c r="AB169" s="89"/>
      <c r="AC169" s="89"/>
      <c r="AD169" s="89"/>
      <c r="AE169" s="89"/>
      <c r="AF169" s="89"/>
    </row>
    <row r="170" spans="1:32" s="90" customFormat="1" x14ac:dyDescent="0.45">
      <c r="A170" s="129" t="s">
        <v>728</v>
      </c>
      <c r="B170" s="138" t="s">
        <v>729</v>
      </c>
      <c r="C170" s="131"/>
      <c r="D170" s="131"/>
      <c r="E170" s="97">
        <f t="shared" si="23"/>
        <v>11.258305</v>
      </c>
      <c r="F170" s="135">
        <v>4.34</v>
      </c>
      <c r="G170" s="134">
        <f t="shared" si="31"/>
        <v>5.7757999999999994</v>
      </c>
      <c r="H170" s="135">
        <v>0.7</v>
      </c>
      <c r="I170" s="135"/>
      <c r="J170" s="136"/>
      <c r="K170" s="132"/>
      <c r="L170" s="104">
        <v>0.7</v>
      </c>
      <c r="M170" s="134">
        <f t="shared" si="32"/>
        <v>3.0379999999999998</v>
      </c>
      <c r="N170" s="104"/>
      <c r="O170" s="134"/>
      <c r="P170" s="135">
        <v>1</v>
      </c>
      <c r="Q170" s="132"/>
      <c r="R170" s="132"/>
      <c r="S170" s="132"/>
      <c r="T170" s="137"/>
      <c r="U170" s="104">
        <v>0.17</v>
      </c>
      <c r="V170" s="134">
        <f t="shared" si="33"/>
        <v>0.73780000000000001</v>
      </c>
      <c r="W170" s="135">
        <v>0.3</v>
      </c>
      <c r="X170" s="97">
        <v>0.22500000000000001</v>
      </c>
      <c r="Y170" s="134">
        <f t="shared" si="34"/>
        <v>1.1425050000000001</v>
      </c>
      <c r="Z170" s="134">
        <f t="shared" si="35"/>
        <v>26.3444337</v>
      </c>
      <c r="AA170" s="88"/>
      <c r="AB170" s="89"/>
      <c r="AC170" s="89"/>
      <c r="AD170" s="89"/>
      <c r="AE170" s="89"/>
      <c r="AF170" s="89"/>
    </row>
    <row r="171" spans="1:32" s="90" customFormat="1" x14ac:dyDescent="0.45">
      <c r="A171" s="129" t="s">
        <v>730</v>
      </c>
      <c r="B171" s="138" t="s">
        <v>731</v>
      </c>
      <c r="C171" s="131"/>
      <c r="D171" s="131"/>
      <c r="E171" s="97">
        <f t="shared" si="23"/>
        <v>11.5782925</v>
      </c>
      <c r="F171" s="135">
        <v>4.34</v>
      </c>
      <c r="G171" s="134">
        <f t="shared" si="31"/>
        <v>6.0563000000000002</v>
      </c>
      <c r="H171" s="135">
        <v>0.7</v>
      </c>
      <c r="I171" s="135">
        <v>0.15</v>
      </c>
      <c r="J171" s="136"/>
      <c r="K171" s="132"/>
      <c r="L171" s="104">
        <v>0.7</v>
      </c>
      <c r="M171" s="134">
        <f t="shared" si="32"/>
        <v>3.1429999999999998</v>
      </c>
      <c r="N171" s="104"/>
      <c r="O171" s="134"/>
      <c r="P171" s="135">
        <v>1</v>
      </c>
      <c r="Q171" s="132"/>
      <c r="R171" s="132"/>
      <c r="S171" s="132"/>
      <c r="T171" s="137"/>
      <c r="U171" s="104">
        <v>0.17</v>
      </c>
      <c r="V171" s="134">
        <f t="shared" si="33"/>
        <v>0.76330000000000009</v>
      </c>
      <c r="W171" s="135">
        <v>0.3</v>
      </c>
      <c r="X171" s="97">
        <v>0.22500000000000001</v>
      </c>
      <c r="Y171" s="134">
        <f t="shared" si="34"/>
        <v>1.1819925</v>
      </c>
      <c r="Z171" s="134">
        <f t="shared" si="35"/>
        <v>27.093204449999998</v>
      </c>
      <c r="AA171" s="88"/>
      <c r="AB171" s="89"/>
      <c r="AC171" s="89"/>
      <c r="AD171" s="89"/>
      <c r="AE171" s="89"/>
      <c r="AF171" s="89"/>
    </row>
    <row r="172" spans="1:32" s="90" customFormat="1" x14ac:dyDescent="0.45">
      <c r="A172" s="129" t="s">
        <v>732</v>
      </c>
      <c r="B172" s="138" t="s">
        <v>733</v>
      </c>
      <c r="C172" s="131"/>
      <c r="D172" s="131"/>
      <c r="E172" s="97">
        <f t="shared" si="23"/>
        <v>11.258305</v>
      </c>
      <c r="F172" s="135">
        <v>4.34</v>
      </c>
      <c r="G172" s="134">
        <f t="shared" si="31"/>
        <v>5.7757999999999994</v>
      </c>
      <c r="H172" s="135">
        <v>0.7</v>
      </c>
      <c r="I172" s="135"/>
      <c r="J172" s="136"/>
      <c r="K172" s="132"/>
      <c r="L172" s="104">
        <v>0.7</v>
      </c>
      <c r="M172" s="134">
        <f t="shared" si="32"/>
        <v>3.0379999999999998</v>
      </c>
      <c r="N172" s="104"/>
      <c r="O172" s="134"/>
      <c r="P172" s="135">
        <v>1</v>
      </c>
      <c r="Q172" s="132"/>
      <c r="R172" s="132"/>
      <c r="S172" s="132"/>
      <c r="T172" s="137"/>
      <c r="U172" s="104">
        <v>0.17</v>
      </c>
      <c r="V172" s="134">
        <f t="shared" si="33"/>
        <v>0.73780000000000001</v>
      </c>
      <c r="W172" s="135">
        <v>0.3</v>
      </c>
      <c r="X172" s="97">
        <v>0.22500000000000001</v>
      </c>
      <c r="Y172" s="134">
        <f t="shared" si="34"/>
        <v>1.1425050000000001</v>
      </c>
      <c r="Z172" s="134">
        <f t="shared" si="35"/>
        <v>26.3444337</v>
      </c>
      <c r="AA172" s="88"/>
      <c r="AB172" s="89"/>
      <c r="AC172" s="89"/>
      <c r="AD172" s="89"/>
      <c r="AE172" s="89"/>
      <c r="AF172" s="89"/>
    </row>
    <row r="173" spans="1:32" s="90" customFormat="1" x14ac:dyDescent="0.45">
      <c r="A173" s="129" t="s">
        <v>734</v>
      </c>
      <c r="B173" s="138" t="s">
        <v>735</v>
      </c>
      <c r="C173" s="131"/>
      <c r="D173" s="131"/>
      <c r="E173" s="97">
        <f t="shared" si="23"/>
        <v>11.258305</v>
      </c>
      <c r="F173" s="135">
        <v>4.34</v>
      </c>
      <c r="G173" s="134">
        <f t="shared" si="31"/>
        <v>5.7757999999999994</v>
      </c>
      <c r="H173" s="135">
        <v>0.7</v>
      </c>
      <c r="I173" s="135"/>
      <c r="J173" s="136"/>
      <c r="K173" s="132"/>
      <c r="L173" s="104">
        <v>0.7</v>
      </c>
      <c r="M173" s="134">
        <f t="shared" si="32"/>
        <v>3.0379999999999998</v>
      </c>
      <c r="N173" s="104"/>
      <c r="O173" s="134"/>
      <c r="P173" s="135">
        <v>1</v>
      </c>
      <c r="Q173" s="132"/>
      <c r="R173" s="132"/>
      <c r="S173" s="132"/>
      <c r="T173" s="137"/>
      <c r="U173" s="104">
        <v>0.17</v>
      </c>
      <c r="V173" s="134">
        <f t="shared" si="33"/>
        <v>0.73780000000000001</v>
      </c>
      <c r="W173" s="135">
        <v>0.3</v>
      </c>
      <c r="X173" s="97">
        <v>0.22500000000000001</v>
      </c>
      <c r="Y173" s="134">
        <f t="shared" si="34"/>
        <v>1.1425050000000001</v>
      </c>
      <c r="Z173" s="134">
        <f t="shared" si="35"/>
        <v>26.3444337</v>
      </c>
      <c r="AA173" s="88"/>
      <c r="AB173" s="89"/>
      <c r="AC173" s="89"/>
      <c r="AD173" s="89"/>
      <c r="AE173" s="89"/>
      <c r="AF173" s="89"/>
    </row>
    <row r="174" spans="1:32" s="90" customFormat="1" x14ac:dyDescent="0.45">
      <c r="A174" s="129" t="s">
        <v>736</v>
      </c>
      <c r="B174" s="138" t="s">
        <v>737</v>
      </c>
      <c r="C174" s="131"/>
      <c r="D174" s="131"/>
      <c r="E174" s="97">
        <f t="shared" si="23"/>
        <v>11.684954999999999</v>
      </c>
      <c r="F174" s="135">
        <v>4.34</v>
      </c>
      <c r="G174" s="134">
        <f t="shared" si="31"/>
        <v>6.149799999999999</v>
      </c>
      <c r="H174" s="135">
        <v>0.7</v>
      </c>
      <c r="I174" s="135">
        <v>0.2</v>
      </c>
      <c r="J174" s="136"/>
      <c r="K174" s="132"/>
      <c r="L174" s="104">
        <v>0.7</v>
      </c>
      <c r="M174" s="134">
        <f t="shared" si="32"/>
        <v>3.1779999999999999</v>
      </c>
      <c r="N174" s="104"/>
      <c r="O174" s="134"/>
      <c r="P174" s="135">
        <v>1</v>
      </c>
      <c r="Q174" s="132"/>
      <c r="R174" s="132"/>
      <c r="S174" s="132"/>
      <c r="T174" s="137"/>
      <c r="U174" s="104">
        <v>0.17</v>
      </c>
      <c r="V174" s="134">
        <f t="shared" si="33"/>
        <v>0.77180000000000004</v>
      </c>
      <c r="W174" s="135">
        <v>0.3</v>
      </c>
      <c r="X174" s="97">
        <v>0.22500000000000001</v>
      </c>
      <c r="Y174" s="134">
        <f t="shared" si="34"/>
        <v>1.195155</v>
      </c>
      <c r="Z174" s="134">
        <f t="shared" si="35"/>
        <v>27.342794699999995</v>
      </c>
      <c r="AA174" s="88"/>
      <c r="AB174" s="89"/>
      <c r="AC174" s="89"/>
      <c r="AD174" s="89"/>
      <c r="AE174" s="89"/>
      <c r="AF174" s="89"/>
    </row>
    <row r="175" spans="1:32" s="90" customFormat="1" x14ac:dyDescent="0.45">
      <c r="A175" s="129" t="s">
        <v>738</v>
      </c>
      <c r="B175" s="138" t="s">
        <v>739</v>
      </c>
      <c r="C175" s="131"/>
      <c r="D175" s="131"/>
      <c r="E175" s="97">
        <f t="shared" si="23"/>
        <v>11.258305</v>
      </c>
      <c r="F175" s="135">
        <v>4.34</v>
      </c>
      <c r="G175" s="134">
        <f t="shared" si="31"/>
        <v>5.7757999999999994</v>
      </c>
      <c r="H175" s="135">
        <v>0.7</v>
      </c>
      <c r="I175" s="135"/>
      <c r="J175" s="136"/>
      <c r="K175" s="132"/>
      <c r="L175" s="104">
        <v>0.7</v>
      </c>
      <c r="M175" s="134">
        <f t="shared" si="32"/>
        <v>3.0379999999999998</v>
      </c>
      <c r="N175" s="104"/>
      <c r="O175" s="134"/>
      <c r="P175" s="135">
        <v>1</v>
      </c>
      <c r="Q175" s="132"/>
      <c r="R175" s="132"/>
      <c r="S175" s="132"/>
      <c r="T175" s="137"/>
      <c r="U175" s="104">
        <v>0.17</v>
      </c>
      <c r="V175" s="134">
        <f t="shared" si="33"/>
        <v>0.73780000000000001</v>
      </c>
      <c r="W175" s="135">
        <v>0.3</v>
      </c>
      <c r="X175" s="97">
        <v>0.22500000000000001</v>
      </c>
      <c r="Y175" s="134">
        <f t="shared" si="34"/>
        <v>1.1425050000000001</v>
      </c>
      <c r="Z175" s="134">
        <f t="shared" si="35"/>
        <v>26.3444337</v>
      </c>
      <c r="AA175" s="88"/>
      <c r="AB175" s="89"/>
      <c r="AC175" s="89"/>
      <c r="AD175" s="89"/>
      <c r="AE175" s="89"/>
      <c r="AF175" s="89"/>
    </row>
    <row r="176" spans="1:32" s="90" customFormat="1" x14ac:dyDescent="0.45">
      <c r="A176" s="129" t="s">
        <v>740</v>
      </c>
      <c r="B176" s="138" t="s">
        <v>741</v>
      </c>
      <c r="C176" s="131"/>
      <c r="D176" s="131"/>
      <c r="E176" s="97">
        <f t="shared" si="23"/>
        <v>9.8969374999999999</v>
      </c>
      <c r="F176" s="135">
        <v>3.65</v>
      </c>
      <c r="G176" s="134">
        <f t="shared" si="31"/>
        <v>5.3025000000000002</v>
      </c>
      <c r="H176" s="135">
        <v>0.7</v>
      </c>
      <c r="I176" s="135"/>
      <c r="J176" s="136"/>
      <c r="K176" s="132"/>
      <c r="L176" s="104">
        <v>0.7</v>
      </c>
      <c r="M176" s="134">
        <f t="shared" si="32"/>
        <v>2.5549999999999997</v>
      </c>
      <c r="N176" s="104"/>
      <c r="O176" s="134"/>
      <c r="P176" s="135">
        <v>1</v>
      </c>
      <c r="Q176" s="132"/>
      <c r="R176" s="132"/>
      <c r="S176" s="132"/>
      <c r="T176" s="137"/>
      <c r="U176" s="104">
        <v>0.15</v>
      </c>
      <c r="V176" s="134">
        <f t="shared" si="33"/>
        <v>0.54749999999999999</v>
      </c>
      <c r="W176" s="135">
        <f>0.5</f>
        <v>0.5</v>
      </c>
      <c r="X176" s="97">
        <v>0.22500000000000001</v>
      </c>
      <c r="Y176" s="134">
        <f t="shared" si="34"/>
        <v>0.94443749999999993</v>
      </c>
      <c r="Z176" s="134">
        <f t="shared" si="35"/>
        <v>23.158833749999999</v>
      </c>
      <c r="AA176" s="88"/>
      <c r="AB176" s="89"/>
      <c r="AC176" s="89"/>
      <c r="AD176" s="89"/>
      <c r="AE176" s="89"/>
      <c r="AF176" s="89"/>
    </row>
    <row r="177" spans="1:32" s="90" customFormat="1" x14ac:dyDescent="0.45">
      <c r="A177" s="129" t="s">
        <v>742</v>
      </c>
      <c r="B177" s="138" t="s">
        <v>743</v>
      </c>
      <c r="C177" s="131"/>
      <c r="D177" s="131"/>
      <c r="E177" s="97">
        <f t="shared" si="23"/>
        <v>11.351974999999999</v>
      </c>
      <c r="F177" s="135">
        <v>4.34</v>
      </c>
      <c r="G177" s="134">
        <f>H177+I177+K177+M177+O177+P177+V177+W177</f>
        <v>5.8889999999999993</v>
      </c>
      <c r="H177" s="135">
        <v>0.7</v>
      </c>
      <c r="I177" s="135"/>
      <c r="J177" s="136"/>
      <c r="K177" s="132"/>
      <c r="L177" s="104">
        <v>0.7</v>
      </c>
      <c r="M177" s="134">
        <f t="shared" si="32"/>
        <v>3.0379999999999998</v>
      </c>
      <c r="N177" s="104"/>
      <c r="O177" s="134"/>
      <c r="P177" s="135">
        <v>1</v>
      </c>
      <c r="Q177" s="132"/>
      <c r="R177" s="132"/>
      <c r="S177" s="132"/>
      <c r="T177" s="137"/>
      <c r="U177" s="104">
        <v>0.15</v>
      </c>
      <c r="V177" s="134">
        <f t="shared" si="33"/>
        <v>0.65099999999999991</v>
      </c>
      <c r="W177" s="135">
        <f>0.3+0.2</f>
        <v>0.5</v>
      </c>
      <c r="X177" s="97">
        <v>0.22500000000000001</v>
      </c>
      <c r="Y177" s="134">
        <f t="shared" si="34"/>
        <v>1.1229750000000001</v>
      </c>
      <c r="Z177" s="134">
        <f t="shared" si="35"/>
        <v>26.563621499999996</v>
      </c>
      <c r="AA177" s="88"/>
      <c r="AB177" s="89"/>
      <c r="AC177" s="89"/>
      <c r="AD177" s="89"/>
      <c r="AE177" s="89"/>
      <c r="AF177" s="89"/>
    </row>
    <row r="178" spans="1:32" s="90" customFormat="1" x14ac:dyDescent="0.45">
      <c r="A178" s="129" t="s">
        <v>744</v>
      </c>
      <c r="B178" s="138" t="s">
        <v>745</v>
      </c>
      <c r="C178" s="131"/>
      <c r="D178" s="131"/>
      <c r="E178" s="97">
        <f t="shared" si="23"/>
        <v>11.413285000000002</v>
      </c>
      <c r="F178" s="135">
        <v>4.34</v>
      </c>
      <c r="G178" s="134">
        <f t="shared" si="31"/>
        <v>5.9216000000000006</v>
      </c>
      <c r="H178" s="135">
        <v>0.7</v>
      </c>
      <c r="I178" s="135">
        <v>0.15</v>
      </c>
      <c r="J178" s="136"/>
      <c r="K178" s="132"/>
      <c r="L178" s="104">
        <v>0.7</v>
      </c>
      <c r="M178" s="134">
        <f t="shared" si="32"/>
        <v>3.1429999999999998</v>
      </c>
      <c r="N178" s="104"/>
      <c r="O178" s="134"/>
      <c r="P178" s="135">
        <v>1</v>
      </c>
      <c r="Q178" s="132"/>
      <c r="R178" s="132"/>
      <c r="S178" s="132"/>
      <c r="T178" s="137"/>
      <c r="U178" s="104">
        <v>0.14000000000000001</v>
      </c>
      <c r="V178" s="134">
        <f t="shared" si="33"/>
        <v>0.62860000000000005</v>
      </c>
      <c r="W178" s="135">
        <v>0.3</v>
      </c>
      <c r="X178" s="97">
        <v>0.22500000000000001</v>
      </c>
      <c r="Y178" s="134">
        <f t="shared" si="34"/>
        <v>1.1516850000000003</v>
      </c>
      <c r="Z178" s="134">
        <f t="shared" si="35"/>
        <v>26.707086900000004</v>
      </c>
      <c r="AA178" s="88"/>
      <c r="AB178" s="89"/>
      <c r="AC178" s="89"/>
      <c r="AD178" s="89"/>
      <c r="AE178" s="89"/>
      <c r="AF178" s="89"/>
    </row>
    <row r="179" spans="1:32" s="90" customFormat="1" x14ac:dyDescent="0.45">
      <c r="A179" s="129" t="s">
        <v>746</v>
      </c>
      <c r="B179" s="138" t="s">
        <v>747</v>
      </c>
      <c r="C179" s="131"/>
      <c r="D179" s="131"/>
      <c r="E179" s="97">
        <f t="shared" si="23"/>
        <v>11.51811</v>
      </c>
      <c r="F179" s="135">
        <v>4.34</v>
      </c>
      <c r="G179" s="134">
        <f t="shared" si="31"/>
        <v>6.0135999999999994</v>
      </c>
      <c r="H179" s="135">
        <v>0.7</v>
      </c>
      <c r="I179" s="135">
        <v>0.2</v>
      </c>
      <c r="J179" s="136"/>
      <c r="K179" s="132"/>
      <c r="L179" s="104">
        <v>0.7</v>
      </c>
      <c r="M179" s="134">
        <f t="shared" si="32"/>
        <v>3.1779999999999999</v>
      </c>
      <c r="N179" s="104"/>
      <c r="O179" s="134"/>
      <c r="P179" s="135">
        <v>1</v>
      </c>
      <c r="Q179" s="132"/>
      <c r="R179" s="132"/>
      <c r="S179" s="132"/>
      <c r="T179" s="137"/>
      <c r="U179" s="104">
        <v>0.14000000000000001</v>
      </c>
      <c r="V179" s="134">
        <f t="shared" si="33"/>
        <v>0.63560000000000005</v>
      </c>
      <c r="W179" s="135">
        <v>0.3</v>
      </c>
      <c r="X179" s="97">
        <v>0.22500000000000001</v>
      </c>
      <c r="Y179" s="134">
        <f t="shared" si="34"/>
        <v>1.1645100000000002</v>
      </c>
      <c r="Z179" s="134">
        <f t="shared" si="35"/>
        <v>26.9523774</v>
      </c>
      <c r="AA179" s="88"/>
      <c r="AB179" s="89"/>
      <c r="AC179" s="89"/>
      <c r="AD179" s="89"/>
      <c r="AE179" s="89"/>
      <c r="AF179" s="89"/>
    </row>
    <row r="180" spans="1:32" s="90" customFormat="1" x14ac:dyDescent="0.45">
      <c r="A180" s="129" t="s">
        <v>748</v>
      </c>
      <c r="B180" s="138" t="s">
        <v>749</v>
      </c>
      <c r="C180" s="131"/>
      <c r="D180" s="131"/>
      <c r="E180" s="97">
        <f t="shared" si="23"/>
        <v>11.51811</v>
      </c>
      <c r="F180" s="135">
        <v>4.34</v>
      </c>
      <c r="G180" s="134">
        <f t="shared" si="31"/>
        <v>6.0135999999999994</v>
      </c>
      <c r="H180" s="135">
        <v>0.7</v>
      </c>
      <c r="I180" s="135">
        <v>0.2</v>
      </c>
      <c r="J180" s="136"/>
      <c r="K180" s="132"/>
      <c r="L180" s="104">
        <v>0.7</v>
      </c>
      <c r="M180" s="134">
        <f t="shared" si="32"/>
        <v>3.1779999999999999</v>
      </c>
      <c r="N180" s="104"/>
      <c r="O180" s="134"/>
      <c r="P180" s="135">
        <v>1</v>
      </c>
      <c r="Q180" s="132"/>
      <c r="R180" s="132"/>
      <c r="S180" s="132"/>
      <c r="T180" s="137"/>
      <c r="U180" s="104">
        <v>0.14000000000000001</v>
      </c>
      <c r="V180" s="134">
        <f t="shared" si="33"/>
        <v>0.63560000000000005</v>
      </c>
      <c r="W180" s="135">
        <v>0.3</v>
      </c>
      <c r="X180" s="97">
        <v>0.22500000000000001</v>
      </c>
      <c r="Y180" s="134">
        <f t="shared" si="34"/>
        <v>1.1645100000000002</v>
      </c>
      <c r="Z180" s="134">
        <f t="shared" si="35"/>
        <v>26.9523774</v>
      </c>
      <c r="AA180" s="88"/>
      <c r="AB180" s="89"/>
      <c r="AC180" s="89"/>
      <c r="AD180" s="89"/>
      <c r="AE180" s="89"/>
      <c r="AF180" s="89"/>
    </row>
    <row r="181" spans="1:32" s="90" customFormat="1" x14ac:dyDescent="0.45">
      <c r="A181" s="129" t="s">
        <v>750</v>
      </c>
      <c r="B181" s="138" t="s">
        <v>751</v>
      </c>
      <c r="C181" s="131"/>
      <c r="D181" s="131"/>
      <c r="E181" s="97">
        <f t="shared" si="23"/>
        <v>10.745645</v>
      </c>
      <c r="F181" s="135">
        <v>4.34</v>
      </c>
      <c r="G181" s="134">
        <f t="shared" si="31"/>
        <v>5.3022</v>
      </c>
      <c r="H181" s="135">
        <v>0.7</v>
      </c>
      <c r="I181" s="135"/>
      <c r="J181" s="136"/>
      <c r="K181" s="132"/>
      <c r="L181" s="104">
        <v>0.7</v>
      </c>
      <c r="M181" s="134">
        <f t="shared" si="32"/>
        <v>3.0379999999999998</v>
      </c>
      <c r="N181" s="104"/>
      <c r="O181" s="134"/>
      <c r="P181" s="135">
        <v>0.7</v>
      </c>
      <c r="Q181" s="132"/>
      <c r="R181" s="132"/>
      <c r="S181" s="132"/>
      <c r="T181" s="137"/>
      <c r="U181" s="104">
        <v>0.13</v>
      </c>
      <c r="V181" s="134">
        <f t="shared" si="33"/>
        <v>0.56420000000000003</v>
      </c>
      <c r="W181" s="135">
        <v>0.3</v>
      </c>
      <c r="X181" s="97">
        <v>0.22500000000000001</v>
      </c>
      <c r="Y181" s="134">
        <f t="shared" si="34"/>
        <v>1.103445</v>
      </c>
      <c r="Z181" s="134">
        <f t="shared" si="35"/>
        <v>25.144809299999999</v>
      </c>
      <c r="AA181" s="88"/>
      <c r="AB181" s="89"/>
      <c r="AC181" s="89"/>
      <c r="AD181" s="89"/>
      <c r="AE181" s="89"/>
      <c r="AF181" s="89"/>
    </row>
    <row r="182" spans="1:32" s="90" customFormat="1" x14ac:dyDescent="0.45">
      <c r="A182" s="129" t="s">
        <v>752</v>
      </c>
      <c r="B182" s="138" t="s">
        <v>753</v>
      </c>
      <c r="C182" s="131"/>
      <c r="D182" s="131"/>
      <c r="E182" s="97">
        <f t="shared" si="23"/>
        <v>9.3283550000000002</v>
      </c>
      <c r="F182" s="135">
        <v>3.66</v>
      </c>
      <c r="G182" s="134">
        <f t="shared" si="31"/>
        <v>4.7378</v>
      </c>
      <c r="H182" s="135">
        <v>0.7</v>
      </c>
      <c r="I182" s="135"/>
      <c r="J182" s="136"/>
      <c r="K182" s="132"/>
      <c r="L182" s="104">
        <v>0.7</v>
      </c>
      <c r="M182" s="134">
        <f t="shared" si="32"/>
        <v>2.5619999999999998</v>
      </c>
      <c r="N182" s="104"/>
      <c r="O182" s="134"/>
      <c r="P182" s="135">
        <v>0.7</v>
      </c>
      <c r="Q182" s="132"/>
      <c r="R182" s="132"/>
      <c r="S182" s="132"/>
      <c r="T182" s="137"/>
      <c r="U182" s="104">
        <v>0.13</v>
      </c>
      <c r="V182" s="134">
        <f t="shared" si="33"/>
        <v>0.47580000000000006</v>
      </c>
      <c r="W182" s="135">
        <v>0.3</v>
      </c>
      <c r="X182" s="97">
        <v>0.22500000000000001</v>
      </c>
      <c r="Y182" s="134">
        <f t="shared" si="34"/>
        <v>0.93055500000000013</v>
      </c>
      <c r="Z182" s="134">
        <f t="shared" si="35"/>
        <v>21.828350699999998</v>
      </c>
      <c r="AA182" s="88"/>
      <c r="AB182" s="89"/>
      <c r="AC182" s="89"/>
      <c r="AD182" s="89"/>
      <c r="AE182" s="89"/>
      <c r="AF182" s="89"/>
    </row>
    <row r="183" spans="1:32" s="90" customFormat="1" x14ac:dyDescent="0.45">
      <c r="A183" s="129" t="s">
        <v>754</v>
      </c>
      <c r="B183" s="138" t="s">
        <v>755</v>
      </c>
      <c r="C183" s="131"/>
      <c r="D183" s="131"/>
      <c r="E183" s="97">
        <f t="shared" si="23"/>
        <v>9.2835199999999993</v>
      </c>
      <c r="F183" s="135">
        <v>3.66</v>
      </c>
      <c r="G183" s="134">
        <f t="shared" si="31"/>
        <v>4.7011999999999992</v>
      </c>
      <c r="H183" s="135">
        <v>0.7</v>
      </c>
      <c r="I183" s="135"/>
      <c r="J183" s="136"/>
      <c r="K183" s="132"/>
      <c r="L183" s="104">
        <v>0.7</v>
      </c>
      <c r="M183" s="134">
        <f t="shared" si="32"/>
        <v>2.5619999999999998</v>
      </c>
      <c r="N183" s="104"/>
      <c r="O183" s="134"/>
      <c r="P183" s="135">
        <v>0.7</v>
      </c>
      <c r="Q183" s="132"/>
      <c r="R183" s="132"/>
      <c r="S183" s="132"/>
      <c r="T183" s="137"/>
      <c r="U183" s="104">
        <v>0.12</v>
      </c>
      <c r="V183" s="134">
        <f t="shared" si="33"/>
        <v>0.43919999999999998</v>
      </c>
      <c r="W183" s="135">
        <v>0.3</v>
      </c>
      <c r="X183" s="97">
        <v>0.22500000000000001</v>
      </c>
      <c r="Y183" s="134">
        <f t="shared" si="34"/>
        <v>0.92231999999999992</v>
      </c>
      <c r="Z183" s="134">
        <f t="shared" si="35"/>
        <v>21.723436799999998</v>
      </c>
      <c r="AA183" s="88"/>
      <c r="AB183" s="89"/>
      <c r="AC183" s="89"/>
      <c r="AD183" s="89"/>
      <c r="AE183" s="89"/>
      <c r="AF183" s="89"/>
    </row>
    <row r="184" spans="1:32" s="90" customFormat="1" x14ac:dyDescent="0.45">
      <c r="A184" s="129" t="s">
        <v>756</v>
      </c>
      <c r="B184" s="138" t="s">
        <v>757</v>
      </c>
      <c r="C184" s="131"/>
      <c r="D184" s="131"/>
      <c r="E184" s="97">
        <f t="shared" si="23"/>
        <v>10.402400000000002</v>
      </c>
      <c r="F184" s="135">
        <v>4</v>
      </c>
      <c r="G184" s="134">
        <f t="shared" si="31"/>
        <v>5.3440000000000003</v>
      </c>
      <c r="H184" s="135">
        <v>0.7</v>
      </c>
      <c r="I184" s="135">
        <v>0.2</v>
      </c>
      <c r="J184" s="136"/>
      <c r="K184" s="132"/>
      <c r="L184" s="104">
        <v>0.7</v>
      </c>
      <c r="M184" s="134">
        <f t="shared" si="32"/>
        <v>2.94</v>
      </c>
      <c r="N184" s="104"/>
      <c r="O184" s="134"/>
      <c r="P184" s="135">
        <v>0.7</v>
      </c>
      <c r="Q184" s="132"/>
      <c r="R184" s="132"/>
      <c r="S184" s="132"/>
      <c r="T184" s="137"/>
      <c r="U184" s="104">
        <v>0.12</v>
      </c>
      <c r="V184" s="134">
        <f t="shared" si="33"/>
        <v>0.504</v>
      </c>
      <c r="W184" s="135">
        <v>0.3</v>
      </c>
      <c r="X184" s="97">
        <v>0.22500000000000001</v>
      </c>
      <c r="Y184" s="134">
        <f t="shared" si="34"/>
        <v>1.0584000000000002</v>
      </c>
      <c r="Z184" s="134">
        <f t="shared" si="35"/>
        <v>24.341616000000002</v>
      </c>
      <c r="AA184" s="88"/>
      <c r="AB184" s="89"/>
      <c r="AC184" s="89"/>
      <c r="AD184" s="89"/>
      <c r="AE184" s="89"/>
      <c r="AF184" s="89"/>
    </row>
    <row r="185" spans="1:32" s="90" customFormat="1" x14ac:dyDescent="0.45">
      <c r="A185" s="129" t="s">
        <v>758</v>
      </c>
      <c r="B185" s="138" t="s">
        <v>759</v>
      </c>
      <c r="C185" s="131"/>
      <c r="D185" s="131"/>
      <c r="E185" s="97">
        <f t="shared" si="23"/>
        <v>9.9880000000000013</v>
      </c>
      <c r="F185" s="135">
        <v>4</v>
      </c>
      <c r="G185" s="134">
        <f t="shared" si="31"/>
        <v>4.9799999999999995</v>
      </c>
      <c r="H185" s="135">
        <v>0.7</v>
      </c>
      <c r="I185" s="135"/>
      <c r="J185" s="136"/>
      <c r="K185" s="132"/>
      <c r="L185" s="104">
        <v>0.7</v>
      </c>
      <c r="M185" s="134">
        <f t="shared" si="32"/>
        <v>2.8</v>
      </c>
      <c r="N185" s="104"/>
      <c r="O185" s="134"/>
      <c r="P185" s="135">
        <v>0.7</v>
      </c>
      <c r="Q185" s="132"/>
      <c r="R185" s="132"/>
      <c r="S185" s="132"/>
      <c r="T185" s="137"/>
      <c r="U185" s="104">
        <v>0.12</v>
      </c>
      <c r="V185" s="134">
        <f t="shared" si="33"/>
        <v>0.48</v>
      </c>
      <c r="W185" s="135">
        <v>0.3</v>
      </c>
      <c r="X185" s="97">
        <v>0.22500000000000001</v>
      </c>
      <c r="Y185" s="134">
        <f t="shared" si="34"/>
        <v>1.0080000000000002</v>
      </c>
      <c r="Z185" s="134">
        <f t="shared" si="35"/>
        <v>23.371920000000003</v>
      </c>
      <c r="AA185" s="88"/>
      <c r="AB185" s="89"/>
      <c r="AC185" s="89"/>
      <c r="AD185" s="89"/>
      <c r="AE185" s="89"/>
      <c r="AF185" s="89"/>
    </row>
    <row r="186" spans="1:32" s="90" customFormat="1" x14ac:dyDescent="0.45">
      <c r="A186" s="129" t="s">
        <v>760</v>
      </c>
      <c r="B186" s="138" t="s">
        <v>761</v>
      </c>
      <c r="C186" s="131"/>
      <c r="D186" s="131"/>
      <c r="E186" s="97">
        <f t="shared" si="23"/>
        <v>8.5589674999999996</v>
      </c>
      <c r="F186" s="135">
        <v>3.33</v>
      </c>
      <c r="G186" s="134">
        <f t="shared" si="31"/>
        <v>4.3972999999999995</v>
      </c>
      <c r="H186" s="135">
        <v>0.7</v>
      </c>
      <c r="I186" s="135"/>
      <c r="J186" s="136"/>
      <c r="K186" s="132"/>
      <c r="L186" s="104">
        <v>0.7</v>
      </c>
      <c r="M186" s="134">
        <f t="shared" si="32"/>
        <v>2.331</v>
      </c>
      <c r="N186" s="104"/>
      <c r="O186" s="134"/>
      <c r="P186" s="135">
        <v>0.7</v>
      </c>
      <c r="Q186" s="132"/>
      <c r="R186" s="132"/>
      <c r="S186" s="132"/>
      <c r="T186" s="137"/>
      <c r="U186" s="104">
        <v>0.11</v>
      </c>
      <c r="V186" s="134">
        <f t="shared" si="33"/>
        <v>0.36630000000000001</v>
      </c>
      <c r="W186" s="135">
        <v>0.3</v>
      </c>
      <c r="X186" s="97">
        <v>0.22500000000000001</v>
      </c>
      <c r="Y186" s="134">
        <f t="shared" si="34"/>
        <v>0.8316675</v>
      </c>
      <c r="Z186" s="134">
        <f t="shared" si="35"/>
        <v>20.027983949999999</v>
      </c>
      <c r="AA186" s="88"/>
      <c r="AB186" s="89"/>
      <c r="AC186" s="89"/>
      <c r="AD186" s="89"/>
      <c r="AE186" s="89"/>
      <c r="AF186" s="89"/>
    </row>
    <row r="187" spans="1:32" s="90" customFormat="1" x14ac:dyDescent="0.45">
      <c r="A187" s="129" t="s">
        <v>762</v>
      </c>
      <c r="B187" s="138" t="s">
        <v>763</v>
      </c>
      <c r="C187" s="131"/>
      <c r="D187" s="131"/>
      <c r="E187" s="97">
        <f t="shared" si="23"/>
        <v>9.1322500000000009</v>
      </c>
      <c r="F187" s="135">
        <v>3</v>
      </c>
      <c r="G187" s="134">
        <f t="shared" si="31"/>
        <v>5.4099999999999993</v>
      </c>
      <c r="H187" s="135">
        <v>0.7</v>
      </c>
      <c r="I187" s="135"/>
      <c r="J187" s="136"/>
      <c r="K187" s="132"/>
      <c r="L187" s="104">
        <v>0.7</v>
      </c>
      <c r="M187" s="134">
        <f t="shared" si="32"/>
        <v>2.0999999999999996</v>
      </c>
      <c r="N187" s="104">
        <v>0.7</v>
      </c>
      <c r="O187" s="134">
        <f>(F187+I187+K187)*70%</f>
        <v>2.0999999999999996</v>
      </c>
      <c r="P187" s="135"/>
      <c r="Q187" s="132"/>
      <c r="R187" s="132"/>
      <c r="S187" s="132"/>
      <c r="T187" s="137"/>
      <c r="U187" s="104">
        <v>7.0000000000000007E-2</v>
      </c>
      <c r="V187" s="134">
        <f t="shared" si="33"/>
        <v>0.21000000000000002</v>
      </c>
      <c r="W187" s="135">
        <v>0.3</v>
      </c>
      <c r="X187" s="97">
        <v>0.22500000000000001</v>
      </c>
      <c r="Y187" s="134">
        <f t="shared" si="34"/>
        <v>0.72225000000000006</v>
      </c>
      <c r="Z187" s="134">
        <f t="shared" si="35"/>
        <v>21.369465000000002</v>
      </c>
      <c r="AA187" s="88"/>
      <c r="AB187" s="89"/>
      <c r="AC187" s="89"/>
      <c r="AD187" s="89"/>
      <c r="AE187" s="89"/>
      <c r="AF187" s="89"/>
    </row>
    <row r="188" spans="1:32" s="90" customFormat="1" x14ac:dyDescent="0.45">
      <c r="A188" s="129" t="s">
        <v>764</v>
      </c>
      <c r="B188" s="138" t="s">
        <v>765</v>
      </c>
      <c r="C188" s="131"/>
      <c r="D188" s="131"/>
      <c r="E188" s="97">
        <f t="shared" si="23"/>
        <v>9.6449999999999996</v>
      </c>
      <c r="F188" s="135">
        <v>4</v>
      </c>
      <c r="G188" s="134">
        <f t="shared" si="31"/>
        <v>4.7</v>
      </c>
      <c r="H188" s="135">
        <v>0.7</v>
      </c>
      <c r="I188" s="135"/>
      <c r="J188" s="136"/>
      <c r="K188" s="132"/>
      <c r="L188" s="104">
        <v>0.7</v>
      </c>
      <c r="M188" s="134">
        <f t="shared" si="32"/>
        <v>2.8</v>
      </c>
      <c r="N188" s="104"/>
      <c r="O188" s="134"/>
      <c r="P188" s="135">
        <v>0.7</v>
      </c>
      <c r="Q188" s="132"/>
      <c r="R188" s="132"/>
      <c r="S188" s="132"/>
      <c r="T188" s="137"/>
      <c r="U188" s="104">
        <v>0.05</v>
      </c>
      <c r="V188" s="134">
        <f t="shared" si="33"/>
        <v>0.2</v>
      </c>
      <c r="W188" s="135">
        <v>0.3</v>
      </c>
      <c r="X188" s="97">
        <v>0.22500000000000001</v>
      </c>
      <c r="Y188" s="134">
        <f t="shared" si="34"/>
        <v>0.94500000000000006</v>
      </c>
      <c r="Z188" s="134">
        <f t="shared" si="35"/>
        <v>22.569299999999998</v>
      </c>
      <c r="AA188" s="88"/>
      <c r="AB188" s="89"/>
      <c r="AC188" s="89"/>
      <c r="AD188" s="89"/>
      <c r="AE188" s="89"/>
      <c r="AF188" s="89"/>
    </row>
    <row r="189" spans="1:32" s="90" customFormat="1" x14ac:dyDescent="0.45">
      <c r="A189" s="129" t="s">
        <v>766</v>
      </c>
      <c r="B189" s="138" t="s">
        <v>767</v>
      </c>
      <c r="C189" s="131"/>
      <c r="D189" s="131"/>
      <c r="E189" s="97">
        <f t="shared" si="23"/>
        <v>8.0087499999999991</v>
      </c>
      <c r="F189" s="135">
        <f>2.67</f>
        <v>2.67</v>
      </c>
      <c r="G189" s="134">
        <f t="shared" si="31"/>
        <v>4.7379999999999995</v>
      </c>
      <c r="H189" s="135">
        <f>0.7</f>
        <v>0.7</v>
      </c>
      <c r="I189" s="135"/>
      <c r="J189" s="136"/>
      <c r="K189" s="132"/>
      <c r="L189" s="104">
        <v>0.7</v>
      </c>
      <c r="M189" s="134">
        <f t="shared" si="32"/>
        <v>1.8689999999999998</v>
      </c>
      <c r="N189" s="104">
        <v>0.7</v>
      </c>
      <c r="O189" s="134">
        <f t="shared" ref="O189:O204" si="36">(F189+I189+K189)*70%</f>
        <v>1.8689999999999998</v>
      </c>
      <c r="P189" s="135"/>
      <c r="Q189" s="132"/>
      <c r="R189" s="132"/>
      <c r="S189" s="132"/>
      <c r="T189" s="137"/>
      <c r="U189" s="136"/>
      <c r="V189" s="134">
        <f t="shared" si="33"/>
        <v>0</v>
      </c>
      <c r="W189" s="135">
        <f>0.3</f>
        <v>0.3</v>
      </c>
      <c r="X189" s="97">
        <v>0.22500000000000001</v>
      </c>
      <c r="Y189" s="134">
        <f t="shared" si="34"/>
        <v>0.60075000000000001</v>
      </c>
      <c r="Z189" s="134">
        <f t="shared" si="35"/>
        <v>18.740474999999996</v>
      </c>
      <c r="AA189" s="88"/>
      <c r="AB189" s="89"/>
      <c r="AC189" s="89"/>
      <c r="AD189" s="89"/>
      <c r="AE189" s="89"/>
      <c r="AF189" s="89"/>
    </row>
    <row r="190" spans="1:32" s="90" customFormat="1" x14ac:dyDescent="0.45">
      <c r="A190" s="129" t="s">
        <v>768</v>
      </c>
      <c r="B190" s="138" t="s">
        <v>769</v>
      </c>
      <c r="C190" s="131"/>
      <c r="D190" s="131"/>
      <c r="E190" s="97">
        <f t="shared" si="23"/>
        <v>3.4707500000000002</v>
      </c>
      <c r="F190" s="135">
        <f>2.67</f>
        <v>2.67</v>
      </c>
      <c r="G190" s="134">
        <f t="shared" si="31"/>
        <v>0.2</v>
      </c>
      <c r="H190" s="135">
        <v>0.2</v>
      </c>
      <c r="I190" s="135"/>
      <c r="J190" s="136"/>
      <c r="K190" s="132"/>
      <c r="L190" s="104">
        <v>0.7</v>
      </c>
      <c r="M190" s="134"/>
      <c r="N190" s="104"/>
      <c r="O190" s="134"/>
      <c r="P190" s="135"/>
      <c r="Q190" s="132"/>
      <c r="R190" s="132"/>
      <c r="S190" s="132"/>
      <c r="T190" s="137"/>
      <c r="U190" s="136"/>
      <c r="V190" s="134">
        <f t="shared" si="33"/>
        <v>0</v>
      </c>
      <c r="W190" s="135">
        <f>0.3-0.3</f>
        <v>0</v>
      </c>
      <c r="X190" s="97">
        <v>0.22500000000000001</v>
      </c>
      <c r="Y190" s="134">
        <f t="shared" si="34"/>
        <v>0.60075000000000001</v>
      </c>
      <c r="Z190" s="134">
        <f t="shared" si="35"/>
        <v>8.1215550000000007</v>
      </c>
      <c r="AA190" s="88"/>
      <c r="AB190" s="89"/>
      <c r="AC190" s="89"/>
      <c r="AD190" s="89"/>
      <c r="AE190" s="89"/>
      <c r="AF190" s="89"/>
    </row>
    <row r="191" spans="1:32" s="90" customFormat="1" x14ac:dyDescent="0.45">
      <c r="A191" s="129" t="s">
        <v>770</v>
      </c>
      <c r="B191" s="138" t="s">
        <v>771</v>
      </c>
      <c r="C191" s="131"/>
      <c r="D191" s="131"/>
      <c r="E191" s="97">
        <f t="shared" si="23"/>
        <v>7.1425000000000001</v>
      </c>
      <c r="F191" s="135">
        <v>2.34</v>
      </c>
      <c r="G191" s="134">
        <f t="shared" si="31"/>
        <v>4.2759999999999998</v>
      </c>
      <c r="H191" s="135">
        <v>0.7</v>
      </c>
      <c r="I191" s="135"/>
      <c r="J191" s="136"/>
      <c r="K191" s="132"/>
      <c r="L191" s="104">
        <v>0.7</v>
      </c>
      <c r="M191" s="134">
        <f t="shared" si="32"/>
        <v>1.6379999999999999</v>
      </c>
      <c r="N191" s="104">
        <v>0.7</v>
      </c>
      <c r="O191" s="134">
        <f t="shared" si="36"/>
        <v>1.6379999999999999</v>
      </c>
      <c r="P191" s="135"/>
      <c r="Q191" s="132"/>
      <c r="R191" s="132"/>
      <c r="S191" s="132"/>
      <c r="T191" s="137"/>
      <c r="U191" s="136"/>
      <c r="V191" s="134">
        <f t="shared" si="33"/>
        <v>0</v>
      </c>
      <c r="W191" s="135">
        <v>0.3</v>
      </c>
      <c r="X191" s="97">
        <v>0.22500000000000001</v>
      </c>
      <c r="Y191" s="134">
        <f t="shared" si="34"/>
        <v>0.52649999999999997</v>
      </c>
      <c r="Z191" s="134">
        <f t="shared" si="35"/>
        <v>16.713449999999998</v>
      </c>
      <c r="AA191" s="88"/>
      <c r="AB191" s="89"/>
      <c r="AC191" s="89"/>
      <c r="AD191" s="89"/>
      <c r="AE191" s="89"/>
      <c r="AF191" s="89"/>
    </row>
    <row r="192" spans="1:32" s="90" customFormat="1" x14ac:dyDescent="0.45">
      <c r="A192" s="129" t="s">
        <v>772</v>
      </c>
      <c r="B192" s="138" t="s">
        <v>773</v>
      </c>
      <c r="C192" s="131"/>
      <c r="D192" s="131"/>
      <c r="E192" s="97">
        <f t="shared" si="23"/>
        <v>7.1425000000000001</v>
      </c>
      <c r="F192" s="135">
        <v>2.34</v>
      </c>
      <c r="G192" s="134">
        <f t="shared" si="31"/>
        <v>4.2759999999999998</v>
      </c>
      <c r="H192" s="135">
        <v>0.7</v>
      </c>
      <c r="I192" s="135"/>
      <c r="J192" s="136"/>
      <c r="K192" s="132"/>
      <c r="L192" s="104">
        <v>0.7</v>
      </c>
      <c r="M192" s="134">
        <f t="shared" si="32"/>
        <v>1.6379999999999999</v>
      </c>
      <c r="N192" s="104">
        <v>0.7</v>
      </c>
      <c r="O192" s="134">
        <f t="shared" si="36"/>
        <v>1.6379999999999999</v>
      </c>
      <c r="P192" s="135"/>
      <c r="Q192" s="132"/>
      <c r="R192" s="132"/>
      <c r="S192" s="132"/>
      <c r="T192" s="137"/>
      <c r="U192" s="136"/>
      <c r="V192" s="134">
        <f t="shared" si="33"/>
        <v>0</v>
      </c>
      <c r="W192" s="135">
        <v>0.3</v>
      </c>
      <c r="X192" s="97">
        <v>0.22500000000000001</v>
      </c>
      <c r="Y192" s="134">
        <f t="shared" si="34"/>
        <v>0.52649999999999997</v>
      </c>
      <c r="Z192" s="134">
        <f t="shared" si="35"/>
        <v>16.713449999999998</v>
      </c>
      <c r="AA192" s="88"/>
      <c r="AB192" s="89"/>
      <c r="AC192" s="89"/>
      <c r="AD192" s="89"/>
      <c r="AE192" s="89"/>
      <c r="AF192" s="89"/>
    </row>
    <row r="193" spans="1:32" s="90" customFormat="1" x14ac:dyDescent="0.45">
      <c r="A193" s="129" t="s">
        <v>774</v>
      </c>
      <c r="B193" s="138" t="s">
        <v>775</v>
      </c>
      <c r="C193" s="131"/>
      <c r="D193" s="131"/>
      <c r="E193" s="97">
        <f t="shared" si="23"/>
        <v>7.1425000000000001</v>
      </c>
      <c r="F193" s="135">
        <v>2.34</v>
      </c>
      <c r="G193" s="134">
        <f t="shared" si="31"/>
        <v>4.2759999999999998</v>
      </c>
      <c r="H193" s="135">
        <v>0.7</v>
      </c>
      <c r="I193" s="135"/>
      <c r="J193" s="136"/>
      <c r="K193" s="132"/>
      <c r="L193" s="104">
        <v>0.7</v>
      </c>
      <c r="M193" s="134">
        <f t="shared" si="32"/>
        <v>1.6379999999999999</v>
      </c>
      <c r="N193" s="104">
        <v>0.7</v>
      </c>
      <c r="O193" s="134">
        <f t="shared" si="36"/>
        <v>1.6379999999999999</v>
      </c>
      <c r="P193" s="135"/>
      <c r="Q193" s="132"/>
      <c r="R193" s="132"/>
      <c r="S193" s="132"/>
      <c r="T193" s="137"/>
      <c r="U193" s="136"/>
      <c r="V193" s="134">
        <f t="shared" si="33"/>
        <v>0</v>
      </c>
      <c r="W193" s="135">
        <v>0.3</v>
      </c>
      <c r="X193" s="97">
        <v>0.22500000000000001</v>
      </c>
      <c r="Y193" s="134">
        <f t="shared" si="34"/>
        <v>0.52649999999999997</v>
      </c>
      <c r="Z193" s="134">
        <f t="shared" si="35"/>
        <v>16.713449999999998</v>
      </c>
      <c r="AA193" s="88"/>
      <c r="AB193" s="89"/>
      <c r="AC193" s="89"/>
      <c r="AD193" s="89"/>
      <c r="AE193" s="89"/>
      <c r="AF193" s="89"/>
    </row>
    <row r="194" spans="1:32" s="90" customFormat="1" x14ac:dyDescent="0.45">
      <c r="A194" s="129" t="s">
        <v>776</v>
      </c>
      <c r="B194" s="138" t="s">
        <v>777</v>
      </c>
      <c r="C194" s="131"/>
      <c r="D194" s="131"/>
      <c r="E194" s="97">
        <f t="shared" si="23"/>
        <v>7.1425000000000001</v>
      </c>
      <c r="F194" s="135">
        <v>2.34</v>
      </c>
      <c r="G194" s="134">
        <f t="shared" si="31"/>
        <v>4.2759999999999998</v>
      </c>
      <c r="H194" s="135">
        <v>0.7</v>
      </c>
      <c r="I194" s="135"/>
      <c r="J194" s="136"/>
      <c r="K194" s="132"/>
      <c r="L194" s="104">
        <v>0.7</v>
      </c>
      <c r="M194" s="134">
        <f t="shared" si="32"/>
        <v>1.6379999999999999</v>
      </c>
      <c r="N194" s="104">
        <v>0.7</v>
      </c>
      <c r="O194" s="134">
        <f t="shared" si="36"/>
        <v>1.6379999999999999</v>
      </c>
      <c r="P194" s="135"/>
      <c r="Q194" s="132"/>
      <c r="R194" s="132"/>
      <c r="S194" s="132"/>
      <c r="T194" s="137"/>
      <c r="U194" s="136"/>
      <c r="V194" s="134">
        <f t="shared" si="33"/>
        <v>0</v>
      </c>
      <c r="W194" s="135">
        <v>0.3</v>
      </c>
      <c r="X194" s="97">
        <v>0.22500000000000001</v>
      </c>
      <c r="Y194" s="134">
        <f t="shared" si="34"/>
        <v>0.52649999999999997</v>
      </c>
      <c r="Z194" s="134">
        <f t="shared" si="35"/>
        <v>16.713449999999998</v>
      </c>
      <c r="AA194" s="88"/>
      <c r="AB194" s="89"/>
      <c r="AC194" s="89"/>
      <c r="AD194" s="89"/>
      <c r="AE194" s="89"/>
      <c r="AF194" s="89"/>
    </row>
    <row r="195" spans="1:32" s="90" customFormat="1" x14ac:dyDescent="0.45">
      <c r="A195" s="129" t="s">
        <v>778</v>
      </c>
      <c r="B195" s="138" t="s">
        <v>779</v>
      </c>
      <c r="C195" s="131"/>
      <c r="D195" s="131"/>
      <c r="E195" s="97">
        <f t="shared" si="23"/>
        <v>7.1425000000000001</v>
      </c>
      <c r="F195" s="135">
        <v>2.34</v>
      </c>
      <c r="G195" s="134">
        <f t="shared" si="31"/>
        <v>4.2759999999999998</v>
      </c>
      <c r="H195" s="135">
        <v>0.7</v>
      </c>
      <c r="I195" s="135"/>
      <c r="J195" s="136"/>
      <c r="K195" s="132"/>
      <c r="L195" s="104">
        <v>0.7</v>
      </c>
      <c r="M195" s="134">
        <f t="shared" si="32"/>
        <v>1.6379999999999999</v>
      </c>
      <c r="N195" s="104">
        <v>0.7</v>
      </c>
      <c r="O195" s="134">
        <f t="shared" si="36"/>
        <v>1.6379999999999999</v>
      </c>
      <c r="P195" s="135"/>
      <c r="Q195" s="132"/>
      <c r="R195" s="132"/>
      <c r="S195" s="132"/>
      <c r="T195" s="137"/>
      <c r="U195" s="136"/>
      <c r="V195" s="134">
        <f t="shared" si="33"/>
        <v>0</v>
      </c>
      <c r="W195" s="135">
        <v>0.3</v>
      </c>
      <c r="X195" s="97">
        <v>0.22500000000000001</v>
      </c>
      <c r="Y195" s="134">
        <f t="shared" si="34"/>
        <v>0.52649999999999997</v>
      </c>
      <c r="Z195" s="134">
        <f t="shared" si="35"/>
        <v>16.713449999999998</v>
      </c>
      <c r="AA195" s="88"/>
      <c r="AB195" s="89"/>
      <c r="AC195" s="89"/>
      <c r="AD195" s="89"/>
      <c r="AE195" s="89"/>
      <c r="AF195" s="89"/>
    </row>
    <row r="196" spans="1:32" s="90" customFormat="1" x14ac:dyDescent="0.45">
      <c r="A196" s="129" t="s">
        <v>780</v>
      </c>
      <c r="B196" s="138" t="s">
        <v>781</v>
      </c>
      <c r="C196" s="131"/>
      <c r="D196" s="131"/>
      <c r="E196" s="97">
        <f t="shared" si="23"/>
        <v>7.1425000000000001</v>
      </c>
      <c r="F196" s="135">
        <v>2.34</v>
      </c>
      <c r="G196" s="134">
        <f t="shared" si="31"/>
        <v>4.2759999999999998</v>
      </c>
      <c r="H196" s="135">
        <v>0.7</v>
      </c>
      <c r="I196" s="135"/>
      <c r="J196" s="136"/>
      <c r="K196" s="132"/>
      <c r="L196" s="104">
        <v>0.7</v>
      </c>
      <c r="M196" s="134">
        <f t="shared" si="32"/>
        <v>1.6379999999999999</v>
      </c>
      <c r="N196" s="104">
        <v>0.7</v>
      </c>
      <c r="O196" s="134">
        <f t="shared" si="36"/>
        <v>1.6379999999999999</v>
      </c>
      <c r="P196" s="135"/>
      <c r="Q196" s="132"/>
      <c r="R196" s="132"/>
      <c r="S196" s="132"/>
      <c r="T196" s="137"/>
      <c r="U196" s="136"/>
      <c r="V196" s="134">
        <f t="shared" si="33"/>
        <v>0</v>
      </c>
      <c r="W196" s="135">
        <v>0.3</v>
      </c>
      <c r="X196" s="97">
        <v>0.22500000000000001</v>
      </c>
      <c r="Y196" s="134">
        <f t="shared" si="34"/>
        <v>0.52649999999999997</v>
      </c>
      <c r="Z196" s="134">
        <f t="shared" si="35"/>
        <v>16.713449999999998</v>
      </c>
      <c r="AA196" s="88"/>
      <c r="AB196" s="89"/>
      <c r="AC196" s="89"/>
      <c r="AD196" s="89"/>
      <c r="AE196" s="89"/>
      <c r="AF196" s="89"/>
    </row>
    <row r="197" spans="1:32" s="90" customFormat="1" x14ac:dyDescent="0.45">
      <c r="A197" s="129" t="s">
        <v>782</v>
      </c>
      <c r="B197" s="138" t="s">
        <v>783</v>
      </c>
      <c r="C197" s="131"/>
      <c r="D197" s="131"/>
      <c r="E197" s="97">
        <f t="shared" ref="E197:E206" si="37">F197+G197+Y197</f>
        <v>6.9055</v>
      </c>
      <c r="F197" s="135">
        <v>2.86</v>
      </c>
      <c r="G197" s="134">
        <f t="shared" si="31"/>
        <v>3.4020000000000001</v>
      </c>
      <c r="H197" s="135">
        <v>0.7</v>
      </c>
      <c r="I197" s="135"/>
      <c r="J197" s="136"/>
      <c r="K197" s="132"/>
      <c r="L197" s="104">
        <v>0.7</v>
      </c>
      <c r="M197" s="134">
        <f t="shared" si="32"/>
        <v>2.0019999999999998</v>
      </c>
      <c r="N197" s="104"/>
      <c r="O197" s="134"/>
      <c r="P197" s="135">
        <v>0.7</v>
      </c>
      <c r="Q197" s="132"/>
      <c r="R197" s="132"/>
      <c r="S197" s="132"/>
      <c r="T197" s="137"/>
      <c r="U197" s="136"/>
      <c r="V197" s="134">
        <f t="shared" si="33"/>
        <v>0</v>
      </c>
      <c r="W197" s="135"/>
      <c r="X197" s="97">
        <v>0.22500000000000001</v>
      </c>
      <c r="Y197" s="134">
        <f t="shared" si="34"/>
        <v>0.64349999999999996</v>
      </c>
      <c r="Z197" s="134">
        <f t="shared" si="35"/>
        <v>16.15887</v>
      </c>
      <c r="AA197" s="88"/>
      <c r="AB197" s="89"/>
      <c r="AC197" s="89"/>
      <c r="AD197" s="89"/>
      <c r="AE197" s="89"/>
      <c r="AF197" s="89"/>
    </row>
    <row r="198" spans="1:32" s="90" customFormat="1" x14ac:dyDescent="0.45">
      <c r="A198" s="129" t="s">
        <v>784</v>
      </c>
      <c r="B198" s="138" t="s">
        <v>785</v>
      </c>
      <c r="C198" s="131"/>
      <c r="D198" s="131"/>
      <c r="E198" s="97">
        <f t="shared" si="37"/>
        <v>7.1425000000000001</v>
      </c>
      <c r="F198" s="135">
        <f>2.34</f>
        <v>2.34</v>
      </c>
      <c r="G198" s="134">
        <f t="shared" si="31"/>
        <v>4.2759999999999998</v>
      </c>
      <c r="H198" s="135">
        <f>0.7</f>
        <v>0.7</v>
      </c>
      <c r="I198" s="135"/>
      <c r="J198" s="136"/>
      <c r="K198" s="132"/>
      <c r="L198" s="104">
        <v>0.7</v>
      </c>
      <c r="M198" s="134">
        <f t="shared" si="32"/>
        <v>1.6379999999999999</v>
      </c>
      <c r="N198" s="104">
        <v>0.7</v>
      </c>
      <c r="O198" s="134">
        <f t="shared" si="36"/>
        <v>1.6379999999999999</v>
      </c>
      <c r="P198" s="135"/>
      <c r="Q198" s="132"/>
      <c r="R198" s="132"/>
      <c r="S198" s="132"/>
      <c r="T198" s="137"/>
      <c r="U198" s="136"/>
      <c r="V198" s="134">
        <f t="shared" si="33"/>
        <v>0</v>
      </c>
      <c r="W198" s="135">
        <f>0.3</f>
        <v>0.3</v>
      </c>
      <c r="X198" s="97">
        <v>0.22500000000000001</v>
      </c>
      <c r="Y198" s="134">
        <f t="shared" si="34"/>
        <v>0.52649999999999997</v>
      </c>
      <c r="Z198" s="134">
        <f t="shared" si="35"/>
        <v>16.713449999999998</v>
      </c>
      <c r="AA198" s="88"/>
      <c r="AB198" s="89"/>
      <c r="AC198" s="89"/>
      <c r="AD198" s="89"/>
      <c r="AE198" s="89"/>
      <c r="AF198" s="89"/>
    </row>
    <row r="199" spans="1:32" s="90" customFormat="1" x14ac:dyDescent="0.45">
      <c r="A199" s="129" t="s">
        <v>786</v>
      </c>
      <c r="B199" s="138" t="s">
        <v>787</v>
      </c>
      <c r="C199" s="131"/>
      <c r="D199" s="131"/>
      <c r="E199" s="97">
        <f t="shared" si="37"/>
        <v>7.1425000000000001</v>
      </c>
      <c r="F199" s="135">
        <v>2.34</v>
      </c>
      <c r="G199" s="134">
        <f t="shared" si="31"/>
        <v>4.2759999999999998</v>
      </c>
      <c r="H199" s="135">
        <v>0.7</v>
      </c>
      <c r="I199" s="135"/>
      <c r="J199" s="136"/>
      <c r="K199" s="132"/>
      <c r="L199" s="104">
        <v>0.7</v>
      </c>
      <c r="M199" s="134">
        <f t="shared" si="32"/>
        <v>1.6379999999999999</v>
      </c>
      <c r="N199" s="104">
        <v>0.7</v>
      </c>
      <c r="O199" s="134">
        <f t="shared" si="36"/>
        <v>1.6379999999999999</v>
      </c>
      <c r="P199" s="135"/>
      <c r="Q199" s="132"/>
      <c r="R199" s="132"/>
      <c r="S199" s="132"/>
      <c r="T199" s="137"/>
      <c r="U199" s="136"/>
      <c r="V199" s="134">
        <f t="shared" si="33"/>
        <v>0</v>
      </c>
      <c r="W199" s="135">
        <v>0.3</v>
      </c>
      <c r="X199" s="97">
        <v>0.22500000000000001</v>
      </c>
      <c r="Y199" s="134">
        <f t="shared" si="34"/>
        <v>0.52649999999999997</v>
      </c>
      <c r="Z199" s="134">
        <f t="shared" si="35"/>
        <v>16.713449999999998</v>
      </c>
      <c r="AA199" s="88"/>
      <c r="AB199" s="89"/>
      <c r="AC199" s="89"/>
      <c r="AD199" s="89"/>
      <c r="AE199" s="89"/>
      <c r="AF199" s="89"/>
    </row>
    <row r="200" spans="1:32" s="90" customFormat="1" x14ac:dyDescent="0.45">
      <c r="A200" s="129" t="s">
        <v>788</v>
      </c>
      <c r="B200" s="138" t="s">
        <v>789</v>
      </c>
      <c r="C200" s="131"/>
      <c r="D200" s="131"/>
      <c r="E200" s="97">
        <f t="shared" si="37"/>
        <v>7.1425000000000001</v>
      </c>
      <c r="F200" s="135">
        <v>2.34</v>
      </c>
      <c r="G200" s="134">
        <f t="shared" si="31"/>
        <v>4.2759999999999998</v>
      </c>
      <c r="H200" s="135">
        <v>0.7</v>
      </c>
      <c r="I200" s="135"/>
      <c r="J200" s="136"/>
      <c r="K200" s="132"/>
      <c r="L200" s="104">
        <v>0.7</v>
      </c>
      <c r="M200" s="134">
        <f t="shared" si="32"/>
        <v>1.6379999999999999</v>
      </c>
      <c r="N200" s="104">
        <v>0.7</v>
      </c>
      <c r="O200" s="134">
        <f t="shared" si="36"/>
        <v>1.6379999999999999</v>
      </c>
      <c r="P200" s="135"/>
      <c r="Q200" s="132"/>
      <c r="R200" s="132"/>
      <c r="S200" s="132"/>
      <c r="T200" s="137"/>
      <c r="U200" s="136"/>
      <c r="V200" s="134">
        <f t="shared" si="33"/>
        <v>0</v>
      </c>
      <c r="W200" s="135">
        <v>0.3</v>
      </c>
      <c r="X200" s="97">
        <v>0.22500000000000001</v>
      </c>
      <c r="Y200" s="134">
        <f t="shared" si="34"/>
        <v>0.52649999999999997</v>
      </c>
      <c r="Z200" s="134">
        <f t="shared" si="35"/>
        <v>16.713449999999998</v>
      </c>
      <c r="AA200" s="88"/>
      <c r="AB200" s="89"/>
      <c r="AC200" s="89"/>
      <c r="AD200" s="89"/>
      <c r="AE200" s="89"/>
      <c r="AF200" s="89"/>
    </row>
    <row r="201" spans="1:32" s="90" customFormat="1" x14ac:dyDescent="0.45">
      <c r="A201" s="129" t="s">
        <v>790</v>
      </c>
      <c r="B201" s="138" t="s">
        <v>791</v>
      </c>
      <c r="C201" s="131"/>
      <c r="D201" s="131"/>
      <c r="E201" s="97">
        <f t="shared" si="37"/>
        <v>5.9397500000000001</v>
      </c>
      <c r="F201" s="135">
        <v>2.67</v>
      </c>
      <c r="G201" s="134">
        <f t="shared" si="31"/>
        <v>2.669</v>
      </c>
      <c r="H201" s="135">
        <v>0.7</v>
      </c>
      <c r="I201" s="135"/>
      <c r="J201" s="136"/>
      <c r="K201" s="132"/>
      <c r="L201" s="104"/>
      <c r="M201" s="134">
        <f t="shared" si="32"/>
        <v>0</v>
      </c>
      <c r="N201" s="104">
        <v>0.7</v>
      </c>
      <c r="O201" s="134">
        <f t="shared" si="36"/>
        <v>1.8689999999999998</v>
      </c>
      <c r="P201" s="135"/>
      <c r="Q201" s="132"/>
      <c r="R201" s="132"/>
      <c r="S201" s="132"/>
      <c r="T201" s="137"/>
      <c r="U201" s="136"/>
      <c r="V201" s="134">
        <f t="shared" si="33"/>
        <v>0</v>
      </c>
      <c r="W201" s="135">
        <v>0.1</v>
      </c>
      <c r="X201" s="97">
        <v>0.22500000000000001</v>
      </c>
      <c r="Y201" s="134">
        <f t="shared" si="34"/>
        <v>0.60075000000000001</v>
      </c>
      <c r="Z201" s="134">
        <f t="shared" si="35"/>
        <v>13.899014999999999</v>
      </c>
      <c r="AA201" s="88"/>
      <c r="AB201" s="89"/>
      <c r="AC201" s="89"/>
      <c r="AD201" s="89"/>
      <c r="AE201" s="89"/>
      <c r="AF201" s="89"/>
    </row>
    <row r="202" spans="1:32" s="90" customFormat="1" x14ac:dyDescent="0.45">
      <c r="A202" s="129" t="s">
        <v>792</v>
      </c>
      <c r="B202" s="138" t="s">
        <v>793</v>
      </c>
      <c r="C202" s="131"/>
      <c r="D202" s="131"/>
      <c r="E202" s="97">
        <f t="shared" si="37"/>
        <v>7.1425000000000001</v>
      </c>
      <c r="F202" s="135">
        <v>2.34</v>
      </c>
      <c r="G202" s="134">
        <f t="shared" si="31"/>
        <v>4.2759999999999998</v>
      </c>
      <c r="H202" s="135">
        <v>0.7</v>
      </c>
      <c r="I202" s="135"/>
      <c r="J202" s="136"/>
      <c r="K202" s="132"/>
      <c r="L202" s="104">
        <v>0.7</v>
      </c>
      <c r="M202" s="134">
        <f t="shared" si="32"/>
        <v>1.6379999999999999</v>
      </c>
      <c r="N202" s="104">
        <v>0.7</v>
      </c>
      <c r="O202" s="134">
        <f t="shared" si="36"/>
        <v>1.6379999999999999</v>
      </c>
      <c r="P202" s="135"/>
      <c r="Q202" s="132"/>
      <c r="R202" s="132"/>
      <c r="S202" s="132"/>
      <c r="T202" s="137"/>
      <c r="U202" s="136"/>
      <c r="V202" s="134">
        <f t="shared" si="33"/>
        <v>0</v>
      </c>
      <c r="W202" s="135">
        <v>0.3</v>
      </c>
      <c r="X202" s="97">
        <v>0.22500000000000001</v>
      </c>
      <c r="Y202" s="134">
        <f t="shared" si="34"/>
        <v>0.52649999999999997</v>
      </c>
      <c r="Z202" s="134">
        <f t="shared" si="35"/>
        <v>16.713449999999998</v>
      </c>
      <c r="AA202" s="88"/>
      <c r="AB202" s="89"/>
      <c r="AC202" s="89"/>
      <c r="AD202" s="89"/>
      <c r="AE202" s="89"/>
      <c r="AF202" s="89"/>
    </row>
    <row r="203" spans="1:32" s="90" customFormat="1" x14ac:dyDescent="0.45">
      <c r="A203" s="129" t="s">
        <v>794</v>
      </c>
      <c r="B203" s="138" t="s">
        <v>795</v>
      </c>
      <c r="C203" s="131"/>
      <c r="D203" s="131"/>
      <c r="E203" s="97">
        <f t="shared" si="37"/>
        <v>7.1425000000000001</v>
      </c>
      <c r="F203" s="135">
        <v>2.34</v>
      </c>
      <c r="G203" s="134">
        <f t="shared" si="31"/>
        <v>4.2759999999999998</v>
      </c>
      <c r="H203" s="135">
        <v>0.7</v>
      </c>
      <c r="I203" s="135"/>
      <c r="J203" s="136"/>
      <c r="K203" s="132"/>
      <c r="L203" s="104">
        <v>0.7</v>
      </c>
      <c r="M203" s="134">
        <f t="shared" si="32"/>
        <v>1.6379999999999999</v>
      </c>
      <c r="N203" s="104">
        <v>0.7</v>
      </c>
      <c r="O203" s="134">
        <f t="shared" si="36"/>
        <v>1.6379999999999999</v>
      </c>
      <c r="P203" s="135"/>
      <c r="Q203" s="132"/>
      <c r="R203" s="132"/>
      <c r="S203" s="132"/>
      <c r="T203" s="137"/>
      <c r="U203" s="136"/>
      <c r="V203" s="134">
        <f t="shared" si="33"/>
        <v>0</v>
      </c>
      <c r="W203" s="135">
        <v>0.3</v>
      </c>
      <c r="X203" s="97">
        <v>0.22500000000000001</v>
      </c>
      <c r="Y203" s="134">
        <f t="shared" si="34"/>
        <v>0.52649999999999997</v>
      </c>
      <c r="Z203" s="134">
        <f t="shared" si="35"/>
        <v>16.713449999999998</v>
      </c>
      <c r="AA203" s="88"/>
      <c r="AB203" s="89"/>
      <c r="AC203" s="89"/>
      <c r="AD203" s="89"/>
      <c r="AE203" s="89"/>
      <c r="AF203" s="89"/>
    </row>
    <row r="204" spans="1:32" s="90" customFormat="1" x14ac:dyDescent="0.45">
      <c r="A204" s="129" t="s">
        <v>796</v>
      </c>
      <c r="B204" s="138" t="s">
        <v>797</v>
      </c>
      <c r="C204" s="131"/>
      <c r="D204" s="131"/>
      <c r="E204" s="97">
        <f t="shared" si="37"/>
        <v>7.1425000000000001</v>
      </c>
      <c r="F204" s="135">
        <v>2.34</v>
      </c>
      <c r="G204" s="134">
        <f t="shared" si="31"/>
        <v>4.2759999999999998</v>
      </c>
      <c r="H204" s="135">
        <v>0.7</v>
      </c>
      <c r="I204" s="135"/>
      <c r="J204" s="136"/>
      <c r="K204" s="132"/>
      <c r="L204" s="104">
        <v>0.7</v>
      </c>
      <c r="M204" s="134">
        <f t="shared" si="32"/>
        <v>1.6379999999999999</v>
      </c>
      <c r="N204" s="104">
        <v>0.7</v>
      </c>
      <c r="O204" s="134">
        <f t="shared" si="36"/>
        <v>1.6379999999999999</v>
      </c>
      <c r="P204" s="135"/>
      <c r="Q204" s="132"/>
      <c r="R204" s="132"/>
      <c r="S204" s="132"/>
      <c r="T204" s="137"/>
      <c r="U204" s="136"/>
      <c r="V204" s="134">
        <f t="shared" si="33"/>
        <v>0</v>
      </c>
      <c r="W204" s="135">
        <v>0.3</v>
      </c>
      <c r="X204" s="97">
        <v>0.22500000000000001</v>
      </c>
      <c r="Y204" s="134">
        <f t="shared" si="34"/>
        <v>0.52649999999999997</v>
      </c>
      <c r="Z204" s="134">
        <f t="shared" si="35"/>
        <v>16.713449999999998</v>
      </c>
      <c r="AA204" s="88"/>
      <c r="AB204" s="89"/>
      <c r="AC204" s="89"/>
      <c r="AD204" s="89"/>
      <c r="AE204" s="89"/>
      <c r="AF204" s="89"/>
    </row>
    <row r="205" spans="1:32" s="90" customFormat="1" x14ac:dyDescent="0.45">
      <c r="A205" s="129" t="s">
        <v>798</v>
      </c>
      <c r="B205" s="138" t="s">
        <v>799</v>
      </c>
      <c r="C205" s="131"/>
      <c r="D205" s="131"/>
      <c r="E205" s="97">
        <f t="shared" si="37"/>
        <v>8.8679299999999994</v>
      </c>
      <c r="F205" s="135">
        <v>3.33</v>
      </c>
      <c r="G205" s="134">
        <f t="shared" si="31"/>
        <v>4.6687999999999992</v>
      </c>
      <c r="H205" s="135">
        <v>0.7</v>
      </c>
      <c r="I205" s="135">
        <v>0.15</v>
      </c>
      <c r="J205" s="136"/>
      <c r="K205" s="132"/>
      <c r="L205" s="104">
        <v>0.7</v>
      </c>
      <c r="M205" s="134">
        <f t="shared" si="32"/>
        <v>2.4359999999999999</v>
      </c>
      <c r="N205" s="104"/>
      <c r="O205" s="134"/>
      <c r="P205" s="135">
        <v>0.7</v>
      </c>
      <c r="Q205" s="132"/>
      <c r="R205" s="132"/>
      <c r="S205" s="132"/>
      <c r="T205" s="137"/>
      <c r="U205" s="104">
        <v>0.11</v>
      </c>
      <c r="V205" s="134">
        <f t="shared" si="33"/>
        <v>0.38279999999999997</v>
      </c>
      <c r="W205" s="135">
        <v>0.3</v>
      </c>
      <c r="X205" s="97">
        <v>0.22500000000000001</v>
      </c>
      <c r="Y205" s="134">
        <f t="shared" si="34"/>
        <v>0.86913000000000007</v>
      </c>
      <c r="Z205" s="134">
        <f t="shared" si="35"/>
        <v>20.750956199999997</v>
      </c>
      <c r="AA205" s="88"/>
      <c r="AB205" s="89"/>
      <c r="AC205" s="89"/>
      <c r="AD205" s="89"/>
      <c r="AE205" s="89"/>
      <c r="AF205" s="89"/>
    </row>
    <row r="206" spans="1:32" s="90" customFormat="1" x14ac:dyDescent="0.45">
      <c r="A206" s="129" t="s">
        <v>800</v>
      </c>
      <c r="B206" s="138" t="s">
        <v>801</v>
      </c>
      <c r="C206" s="131"/>
      <c r="D206" s="131"/>
      <c r="E206" s="97">
        <f t="shared" si="37"/>
        <v>5.1485000000000003</v>
      </c>
      <c r="F206" s="135">
        <v>2.86</v>
      </c>
      <c r="G206" s="134">
        <f t="shared" si="31"/>
        <v>1.5999999999999999</v>
      </c>
      <c r="H206" s="135">
        <v>0.7</v>
      </c>
      <c r="I206" s="135">
        <v>0.2</v>
      </c>
      <c r="J206" s="136"/>
      <c r="K206" s="132"/>
      <c r="L206" s="104"/>
      <c r="M206" s="134">
        <f t="shared" si="32"/>
        <v>0</v>
      </c>
      <c r="N206" s="104"/>
      <c r="O206" s="134"/>
      <c r="P206" s="135">
        <v>0.7</v>
      </c>
      <c r="Q206" s="132"/>
      <c r="R206" s="132"/>
      <c r="S206" s="132"/>
      <c r="T206" s="137"/>
      <c r="U206" s="136"/>
      <c r="V206" s="134">
        <f t="shared" si="33"/>
        <v>0</v>
      </c>
      <c r="W206" s="135"/>
      <c r="X206" s="97">
        <v>0.22500000000000001</v>
      </c>
      <c r="Y206" s="134">
        <f>X206*(F206+I206+K206+V206)</f>
        <v>0.6885</v>
      </c>
      <c r="Z206" s="134">
        <f t="shared" si="35"/>
        <v>12.04749</v>
      </c>
      <c r="AA206" s="88"/>
      <c r="AB206" s="89"/>
      <c r="AC206" s="89"/>
      <c r="AD206" s="89"/>
      <c r="AE206" s="89"/>
      <c r="AF206" s="89"/>
    </row>
    <row r="207" spans="1:32" s="90" customFormat="1" x14ac:dyDescent="0.45">
      <c r="A207" s="129" t="s">
        <v>802</v>
      </c>
      <c r="B207" s="109" t="s">
        <v>591</v>
      </c>
      <c r="C207" s="131"/>
      <c r="D207" s="131"/>
      <c r="E207" s="97">
        <f>F207+G207+Y207</f>
        <v>14.2135</v>
      </c>
      <c r="F207" s="135">
        <v>7.02</v>
      </c>
      <c r="G207" s="134">
        <f t="shared" si="31"/>
        <v>5.6139999999999999</v>
      </c>
      <c r="H207" s="135">
        <v>0.7</v>
      </c>
      <c r="I207" s="135"/>
      <c r="J207" s="136"/>
      <c r="K207" s="132"/>
      <c r="L207" s="104"/>
      <c r="M207" s="134"/>
      <c r="N207" s="104">
        <v>0.7</v>
      </c>
      <c r="O207" s="134">
        <f>(F207+I207+K207)*70%</f>
        <v>4.9139999999999997</v>
      </c>
      <c r="P207" s="135"/>
      <c r="Q207" s="132"/>
      <c r="R207" s="132"/>
      <c r="S207" s="132"/>
      <c r="T207" s="137"/>
      <c r="U207" s="136"/>
      <c r="V207" s="134"/>
      <c r="W207" s="135"/>
      <c r="X207" s="97">
        <v>0.22500000000000001</v>
      </c>
      <c r="Y207" s="134">
        <f>X207*(F207+I207+K207+V207)</f>
        <v>1.5794999999999999</v>
      </c>
      <c r="Z207" s="134">
        <f>E207*2.34</f>
        <v>33.259589999999996</v>
      </c>
      <c r="AA207" s="88"/>
      <c r="AB207" s="89"/>
      <c r="AC207" s="89"/>
      <c r="AD207" s="89"/>
      <c r="AE207" s="89"/>
      <c r="AF207" s="89"/>
    </row>
    <row r="208" spans="1:32" x14ac:dyDescent="0.45">
      <c r="A208" s="77"/>
      <c r="B208" s="87" t="s">
        <v>803</v>
      </c>
      <c r="C208" s="142"/>
      <c r="D208" s="143"/>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98"/>
      <c r="AA208" s="75"/>
    </row>
    <row r="209" spans="1:29" x14ac:dyDescent="0.45">
      <c r="A209" s="71"/>
      <c r="B209" s="145" t="s">
        <v>804</v>
      </c>
      <c r="C209" s="80"/>
      <c r="D209" s="81"/>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98"/>
      <c r="AA209" s="75"/>
    </row>
    <row r="210" spans="1:29" x14ac:dyDescent="0.45">
      <c r="A210" s="77">
        <v>2</v>
      </c>
      <c r="B210" s="84" t="s">
        <v>805</v>
      </c>
      <c r="C210" s="146"/>
      <c r="D210" s="81"/>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98"/>
      <c r="AA210" s="75"/>
    </row>
    <row r="211" spans="1:29" x14ac:dyDescent="0.45">
      <c r="A211" s="71"/>
      <c r="B211" s="145" t="s">
        <v>804</v>
      </c>
      <c r="C211" s="80"/>
      <c r="D211" s="81"/>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98"/>
      <c r="AA211" s="75"/>
    </row>
    <row r="212" spans="1:29" ht="28.5" customHeight="1" x14ac:dyDescent="0.45">
      <c r="A212" s="77">
        <v>3</v>
      </c>
      <c r="B212" s="19" t="s">
        <v>806</v>
      </c>
      <c r="C212" s="80"/>
      <c r="D212" s="81"/>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98"/>
      <c r="AA212" s="75"/>
    </row>
    <row r="213" spans="1:29" x14ac:dyDescent="0.45">
      <c r="A213" s="71"/>
      <c r="B213" s="145" t="s">
        <v>804</v>
      </c>
      <c r="C213" s="80"/>
      <c r="D213" s="81"/>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98"/>
      <c r="AA213" s="75"/>
    </row>
    <row r="214" spans="1:29" x14ac:dyDescent="0.45">
      <c r="A214" s="147">
        <v>4</v>
      </c>
      <c r="B214" s="148" t="s">
        <v>807</v>
      </c>
      <c r="C214" s="149"/>
      <c r="D214" s="149"/>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75"/>
    </row>
    <row r="215" spans="1:29" s="64" customFormat="1" ht="25.5" x14ac:dyDescent="0.45">
      <c r="A215" s="416">
        <v>5</v>
      </c>
      <c r="B215" s="148" t="s">
        <v>810</v>
      </c>
      <c r="C215" s="151"/>
      <c r="D215" s="151"/>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417"/>
    </row>
    <row r="216" spans="1:29" x14ac:dyDescent="0.45">
      <c r="A216" s="77">
        <v>6</v>
      </c>
      <c r="B216" s="153" t="s">
        <v>819</v>
      </c>
      <c r="C216" s="146"/>
      <c r="D216" s="81"/>
      <c r="E216" s="97"/>
      <c r="F216" s="112"/>
      <c r="G216" s="112"/>
      <c r="H216" s="112"/>
      <c r="I216" s="112"/>
      <c r="J216" s="112"/>
      <c r="K216" s="112"/>
      <c r="L216" s="112"/>
      <c r="M216" s="112"/>
      <c r="N216" s="112"/>
      <c r="O216" s="112"/>
      <c r="P216" s="112"/>
      <c r="Q216" s="112"/>
      <c r="R216" s="112"/>
      <c r="S216" s="112"/>
      <c r="T216" s="112"/>
      <c r="U216" s="112"/>
      <c r="V216" s="112"/>
      <c r="W216" s="112"/>
      <c r="X216" s="112"/>
      <c r="Y216" s="112"/>
      <c r="Z216" s="154"/>
      <c r="AA216" s="75"/>
    </row>
    <row r="217" spans="1:29" x14ac:dyDescent="0.45">
      <c r="A217" s="71"/>
      <c r="B217" s="145" t="s">
        <v>804</v>
      </c>
      <c r="C217" s="80"/>
      <c r="D217" s="81"/>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98"/>
      <c r="AA217" s="75"/>
    </row>
    <row r="218" spans="1:29" x14ac:dyDescent="0.45">
      <c r="A218" s="77">
        <v>7</v>
      </c>
      <c r="B218" s="153" t="s">
        <v>820</v>
      </c>
      <c r="C218" s="146"/>
      <c r="D218" s="81"/>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54"/>
      <c r="AA218" s="75"/>
    </row>
    <row r="219" spans="1:29" x14ac:dyDescent="0.45">
      <c r="A219" s="71"/>
      <c r="B219" s="145" t="s">
        <v>804</v>
      </c>
      <c r="C219" s="80"/>
      <c r="D219" s="81"/>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98"/>
      <c r="AA219" s="75"/>
    </row>
    <row r="220" spans="1:29" x14ac:dyDescent="0.45">
      <c r="A220" s="147">
        <v>8</v>
      </c>
      <c r="B220" s="148" t="s">
        <v>821</v>
      </c>
      <c r="C220" s="155">
        <f>C221</f>
        <v>13</v>
      </c>
      <c r="D220" s="155">
        <f t="shared" ref="D220:Z220" si="38">D221</f>
        <v>13</v>
      </c>
      <c r="E220" s="152">
        <f t="shared" si="38"/>
        <v>66.007924999999986</v>
      </c>
      <c r="F220" s="152">
        <f t="shared" si="38"/>
        <v>36.010000000000005</v>
      </c>
      <c r="G220" s="152">
        <f t="shared" si="38"/>
        <v>21.814</v>
      </c>
      <c r="H220" s="152">
        <f t="shared" si="38"/>
        <v>8.4</v>
      </c>
      <c r="I220" s="152">
        <f t="shared" si="38"/>
        <v>0</v>
      </c>
      <c r="J220" s="152">
        <f t="shared" si="38"/>
        <v>0.1</v>
      </c>
      <c r="K220" s="152">
        <f t="shared" si="38"/>
        <v>0.36299999999999999</v>
      </c>
      <c r="L220" s="152">
        <f t="shared" si="38"/>
        <v>0</v>
      </c>
      <c r="M220" s="152">
        <f t="shared" si="38"/>
        <v>0</v>
      </c>
      <c r="N220" s="152">
        <f t="shared" si="38"/>
        <v>2.8</v>
      </c>
      <c r="O220" s="152">
        <f t="shared" si="38"/>
        <v>7.6509999999999998</v>
      </c>
      <c r="P220" s="152">
        <f t="shared" si="38"/>
        <v>5.4</v>
      </c>
      <c r="Q220" s="152">
        <f t="shared" si="38"/>
        <v>0</v>
      </c>
      <c r="R220" s="152">
        <f t="shared" si="38"/>
        <v>0</v>
      </c>
      <c r="S220" s="152">
        <f t="shared" si="38"/>
        <v>0</v>
      </c>
      <c r="T220" s="152">
        <f t="shared" si="38"/>
        <v>0</v>
      </c>
      <c r="U220" s="152">
        <f t="shared" si="38"/>
        <v>0</v>
      </c>
      <c r="V220" s="152">
        <f t="shared" si="38"/>
        <v>0</v>
      </c>
      <c r="W220" s="152">
        <f t="shared" si="38"/>
        <v>0.7</v>
      </c>
      <c r="X220" s="152">
        <f t="shared" si="38"/>
        <v>2.9250000000000007</v>
      </c>
      <c r="Y220" s="152">
        <f t="shared" si="38"/>
        <v>8.1839250000000003</v>
      </c>
      <c r="Z220" s="152">
        <f t="shared" si="38"/>
        <v>154.45854449999999</v>
      </c>
      <c r="AA220" s="75"/>
    </row>
    <row r="221" spans="1:29" s="64" customFormat="1" ht="12.75" x14ac:dyDescent="0.45">
      <c r="A221" s="77"/>
      <c r="B221" s="87" t="s">
        <v>822</v>
      </c>
      <c r="C221" s="416">
        <v>13</v>
      </c>
      <c r="D221" s="416">
        <v>13</v>
      </c>
      <c r="E221" s="144">
        <f>SUM(E222:E234)</f>
        <v>66.007924999999986</v>
      </c>
      <c r="F221" s="144">
        <f t="shared" ref="F221:Z221" si="39">SUM(F222:F234)</f>
        <v>36.010000000000005</v>
      </c>
      <c r="G221" s="144">
        <f t="shared" si="39"/>
        <v>21.814</v>
      </c>
      <c r="H221" s="144">
        <f t="shared" si="39"/>
        <v>8.4</v>
      </c>
      <c r="I221" s="144">
        <f t="shared" si="39"/>
        <v>0</v>
      </c>
      <c r="J221" s="144">
        <f t="shared" si="39"/>
        <v>0.1</v>
      </c>
      <c r="K221" s="144">
        <f t="shared" si="39"/>
        <v>0.36299999999999999</v>
      </c>
      <c r="L221" s="144">
        <f t="shared" si="39"/>
        <v>0</v>
      </c>
      <c r="M221" s="144">
        <f t="shared" si="39"/>
        <v>0</v>
      </c>
      <c r="N221" s="144">
        <f t="shared" si="39"/>
        <v>2.8</v>
      </c>
      <c r="O221" s="144">
        <f t="shared" si="39"/>
        <v>7.6509999999999998</v>
      </c>
      <c r="P221" s="144">
        <f t="shared" si="39"/>
        <v>5.4</v>
      </c>
      <c r="Q221" s="144">
        <f t="shared" si="39"/>
        <v>0</v>
      </c>
      <c r="R221" s="144">
        <f t="shared" si="39"/>
        <v>0</v>
      </c>
      <c r="S221" s="144">
        <f t="shared" si="39"/>
        <v>0</v>
      </c>
      <c r="T221" s="144">
        <f t="shared" si="39"/>
        <v>0</v>
      </c>
      <c r="U221" s="144">
        <f t="shared" si="39"/>
        <v>0</v>
      </c>
      <c r="V221" s="144">
        <f t="shared" si="39"/>
        <v>0</v>
      </c>
      <c r="W221" s="144">
        <f t="shared" si="39"/>
        <v>0.7</v>
      </c>
      <c r="X221" s="144">
        <f t="shared" si="39"/>
        <v>2.9250000000000007</v>
      </c>
      <c r="Y221" s="144">
        <f t="shared" si="39"/>
        <v>8.1839250000000003</v>
      </c>
      <c r="Z221" s="144">
        <f t="shared" si="39"/>
        <v>154.45854449999999</v>
      </c>
      <c r="AA221" s="417"/>
      <c r="AB221" s="93">
        <f>E221*12*2.34</f>
        <v>1853.5025339999993</v>
      </c>
      <c r="AC221" s="93">
        <f>F221*10%*2.34*12</f>
        <v>101.11608000000001</v>
      </c>
    </row>
    <row r="222" spans="1:29" x14ac:dyDescent="0.45">
      <c r="A222" s="71" t="s">
        <v>188</v>
      </c>
      <c r="B222" s="156" t="s">
        <v>823</v>
      </c>
      <c r="C222" s="416"/>
      <c r="D222" s="416"/>
      <c r="E222" s="97">
        <f>F222+G222+Y222</f>
        <v>4.4707499999999998</v>
      </c>
      <c r="F222" s="105">
        <v>2.67</v>
      </c>
      <c r="G222" s="112">
        <f>+H222+I222+K222+O222+P222</f>
        <v>1.2</v>
      </c>
      <c r="H222" s="112">
        <v>0.7</v>
      </c>
      <c r="I222" s="112"/>
      <c r="J222" s="112"/>
      <c r="K222" s="105"/>
      <c r="L222" s="112"/>
      <c r="M222" s="112"/>
      <c r="N222" s="112"/>
      <c r="O222" s="112"/>
      <c r="P222" s="105">
        <v>0.5</v>
      </c>
      <c r="Q222" s="112"/>
      <c r="R222" s="112"/>
      <c r="S222" s="112"/>
      <c r="T222" s="112"/>
      <c r="U222" s="112"/>
      <c r="V222" s="112"/>
      <c r="W222" s="105">
        <f t="shared" ref="W222:W227" si="40">0.1</f>
        <v>0.1</v>
      </c>
      <c r="X222" s="98">
        <v>0.22500000000000001</v>
      </c>
      <c r="Y222" s="112">
        <f>+X222*(F222+I222+K222)</f>
        <v>0.60075000000000001</v>
      </c>
      <c r="Z222" s="98">
        <f>E222*2.34</f>
        <v>10.461554999999999</v>
      </c>
      <c r="AA222" s="75"/>
    </row>
    <row r="223" spans="1:29" x14ac:dyDescent="0.45">
      <c r="A223" s="71" t="s">
        <v>439</v>
      </c>
      <c r="B223" s="156" t="s">
        <v>824</v>
      </c>
      <c r="C223" s="157"/>
      <c r="D223" s="158"/>
      <c r="E223" s="97">
        <f>F223+G223+Y223</f>
        <v>4.4707499999999998</v>
      </c>
      <c r="F223" s="105">
        <v>2.67</v>
      </c>
      <c r="G223" s="112">
        <f>+H223+I223+K223+O223+P223</f>
        <v>1.2</v>
      </c>
      <c r="H223" s="112">
        <v>0.7</v>
      </c>
      <c r="I223" s="112"/>
      <c r="J223" s="112"/>
      <c r="K223" s="112"/>
      <c r="L223" s="112"/>
      <c r="M223" s="112"/>
      <c r="N223" s="112"/>
      <c r="O223" s="112"/>
      <c r="P223" s="105">
        <v>0.5</v>
      </c>
      <c r="Q223" s="112"/>
      <c r="R223" s="112"/>
      <c r="S223" s="112"/>
      <c r="T223" s="112"/>
      <c r="U223" s="112"/>
      <c r="V223" s="112"/>
      <c r="W223" s="105">
        <f t="shared" si="40"/>
        <v>0.1</v>
      </c>
      <c r="X223" s="98">
        <v>0.22500000000000001</v>
      </c>
      <c r="Y223" s="112">
        <f>+X223*(F223+I223+K223)</f>
        <v>0.60075000000000001</v>
      </c>
      <c r="Z223" s="98">
        <f>E223*2.34</f>
        <v>10.461554999999999</v>
      </c>
      <c r="AA223" s="75"/>
    </row>
    <row r="224" spans="1:29" x14ac:dyDescent="0.45">
      <c r="A224" s="71" t="s">
        <v>441</v>
      </c>
      <c r="B224" s="156" t="s">
        <v>825</v>
      </c>
      <c r="C224" s="157"/>
      <c r="D224" s="158"/>
      <c r="E224" s="97">
        <f>F224+G224+Y224</f>
        <v>9.016</v>
      </c>
      <c r="F224" s="105">
        <v>4.32</v>
      </c>
      <c r="G224" s="112">
        <f>+H224+I224+K224+O224+P224</f>
        <v>3.7240000000000002</v>
      </c>
      <c r="H224" s="112">
        <v>0.7</v>
      </c>
      <c r="I224" s="112"/>
      <c r="J224" s="112"/>
      <c r="K224" s="112"/>
      <c r="L224" s="112"/>
      <c r="M224" s="112"/>
      <c r="N224" s="112">
        <v>0.7</v>
      </c>
      <c r="O224" s="112">
        <f>+N224*F224</f>
        <v>3.024</v>
      </c>
      <c r="P224" s="105"/>
      <c r="Q224" s="112"/>
      <c r="R224" s="112"/>
      <c r="S224" s="112"/>
      <c r="T224" s="112"/>
      <c r="U224" s="112"/>
      <c r="V224" s="112"/>
      <c r="W224" s="105">
        <f t="shared" si="40"/>
        <v>0.1</v>
      </c>
      <c r="X224" s="98">
        <v>0.22500000000000001</v>
      </c>
      <c r="Y224" s="112">
        <f>+X224*(F224+I224+K224)</f>
        <v>0.97200000000000009</v>
      </c>
      <c r="Z224" s="98">
        <f>E224*2.34</f>
        <v>21.097439999999999</v>
      </c>
      <c r="AA224" s="75"/>
    </row>
    <row r="225" spans="1:29" x14ac:dyDescent="0.45">
      <c r="A225" s="71" t="s">
        <v>443</v>
      </c>
      <c r="B225" s="421" t="s">
        <v>811</v>
      </c>
      <c r="C225" s="80"/>
      <c r="D225" s="81"/>
      <c r="E225" s="97">
        <f t="shared" ref="E225:E227" si="41">F225+G225+Y225</f>
        <v>6.5914249999999992</v>
      </c>
      <c r="F225" s="422">
        <v>3.63</v>
      </c>
      <c r="G225" s="112">
        <f t="shared" ref="G225:G232" si="42">+H225+I225+K225+O225+P225</f>
        <v>2.0629999999999997</v>
      </c>
      <c r="H225" s="112">
        <v>0.7</v>
      </c>
      <c r="I225" s="112"/>
      <c r="J225" s="112">
        <v>0.1</v>
      </c>
      <c r="K225" s="105">
        <f>3.63*10%</f>
        <v>0.36299999999999999</v>
      </c>
      <c r="L225" s="112"/>
      <c r="M225" s="112"/>
      <c r="N225" s="112"/>
      <c r="O225" s="112"/>
      <c r="P225" s="105">
        <f>1</f>
        <v>1</v>
      </c>
      <c r="Q225" s="112"/>
      <c r="R225" s="112"/>
      <c r="S225" s="112"/>
      <c r="T225" s="112"/>
      <c r="U225" s="112"/>
      <c r="V225" s="112"/>
      <c r="W225" s="105">
        <f t="shared" si="40"/>
        <v>0.1</v>
      </c>
      <c r="X225" s="98">
        <v>0.22500000000000001</v>
      </c>
      <c r="Y225" s="112">
        <f t="shared" ref="Y225:Y232" si="43">+X225*(F225+I225+K225)</f>
        <v>0.89842500000000003</v>
      </c>
      <c r="Z225" s="98">
        <f>E225*2.34</f>
        <v>15.423934499999998</v>
      </c>
      <c r="AA225" s="417"/>
    </row>
    <row r="226" spans="1:29" x14ac:dyDescent="0.45">
      <c r="A226" s="71" t="s">
        <v>445</v>
      </c>
      <c r="B226" s="421" t="s">
        <v>812</v>
      </c>
      <c r="C226" s="80"/>
      <c r="D226" s="81"/>
      <c r="E226" s="97">
        <f t="shared" si="41"/>
        <v>4.6585000000000001</v>
      </c>
      <c r="F226" s="422">
        <f>2.66</f>
        <v>2.66</v>
      </c>
      <c r="G226" s="112">
        <f t="shared" si="42"/>
        <v>1.4</v>
      </c>
      <c r="H226" s="112">
        <v>0.7</v>
      </c>
      <c r="I226" s="112"/>
      <c r="J226" s="112"/>
      <c r="K226" s="112"/>
      <c r="L226" s="112"/>
      <c r="M226" s="112"/>
      <c r="N226" s="112"/>
      <c r="O226" s="112"/>
      <c r="P226" s="105">
        <v>0.7</v>
      </c>
      <c r="Q226" s="112"/>
      <c r="R226" s="112"/>
      <c r="S226" s="112"/>
      <c r="T226" s="112"/>
      <c r="U226" s="112"/>
      <c r="V226" s="112"/>
      <c r="W226" s="105">
        <f t="shared" si="40"/>
        <v>0.1</v>
      </c>
      <c r="X226" s="98">
        <v>0.22500000000000001</v>
      </c>
      <c r="Y226" s="112">
        <f t="shared" si="43"/>
        <v>0.59850000000000003</v>
      </c>
      <c r="Z226" s="98">
        <f t="shared" ref="Z226:Z232" si="44">E226*2.34</f>
        <v>10.90089</v>
      </c>
      <c r="AA226" s="417"/>
    </row>
    <row r="227" spans="1:29" x14ac:dyDescent="0.45">
      <c r="A227" s="71" t="s">
        <v>447</v>
      </c>
      <c r="B227" s="423" t="s">
        <v>813</v>
      </c>
      <c r="C227" s="80"/>
      <c r="D227" s="81"/>
      <c r="E227" s="97">
        <f t="shared" si="41"/>
        <v>4.9034999999999993</v>
      </c>
      <c r="F227" s="422">
        <f>2.86</f>
        <v>2.86</v>
      </c>
      <c r="G227" s="112">
        <f t="shared" si="42"/>
        <v>1.4</v>
      </c>
      <c r="H227" s="112">
        <v>0.7</v>
      </c>
      <c r="I227" s="112"/>
      <c r="J227" s="112"/>
      <c r="K227" s="112"/>
      <c r="L227" s="112"/>
      <c r="M227" s="112"/>
      <c r="N227" s="112"/>
      <c r="O227" s="112"/>
      <c r="P227" s="105">
        <v>0.7</v>
      </c>
      <c r="Q227" s="112"/>
      <c r="R227" s="112"/>
      <c r="S227" s="112"/>
      <c r="T227" s="112"/>
      <c r="U227" s="112"/>
      <c r="V227" s="112"/>
      <c r="W227" s="105">
        <f t="shared" si="40"/>
        <v>0.1</v>
      </c>
      <c r="X227" s="98">
        <v>0.22500000000000001</v>
      </c>
      <c r="Y227" s="112">
        <f t="shared" si="43"/>
        <v>0.64349999999999996</v>
      </c>
      <c r="Z227" s="98">
        <f t="shared" si="44"/>
        <v>11.474189999999998</v>
      </c>
      <c r="AA227" s="417"/>
    </row>
    <row r="228" spans="1:29" x14ac:dyDescent="0.45">
      <c r="A228" s="71" t="s">
        <v>449</v>
      </c>
      <c r="B228" s="421" t="s">
        <v>814</v>
      </c>
      <c r="C228" s="80"/>
      <c r="D228" s="81"/>
      <c r="E228" s="97">
        <f>F228+G228+Y228</f>
        <v>4.2134999999999998</v>
      </c>
      <c r="F228" s="422">
        <f>2.46</f>
        <v>2.46</v>
      </c>
      <c r="G228" s="112">
        <f t="shared" si="42"/>
        <v>1.2</v>
      </c>
      <c r="H228" s="112">
        <v>0.7</v>
      </c>
      <c r="I228" s="112"/>
      <c r="J228" s="112"/>
      <c r="K228" s="112"/>
      <c r="L228" s="112"/>
      <c r="M228" s="112"/>
      <c r="N228" s="112"/>
      <c r="O228" s="112"/>
      <c r="P228" s="112">
        <v>0.5</v>
      </c>
      <c r="Q228" s="112"/>
      <c r="R228" s="112"/>
      <c r="S228" s="112"/>
      <c r="T228" s="112"/>
      <c r="U228" s="112"/>
      <c r="V228" s="112"/>
      <c r="W228" s="112"/>
      <c r="X228" s="98">
        <v>0.22500000000000001</v>
      </c>
      <c r="Y228" s="112">
        <f t="shared" si="43"/>
        <v>0.55349999999999999</v>
      </c>
      <c r="Z228" s="98">
        <f t="shared" si="44"/>
        <v>9.859589999999999</v>
      </c>
      <c r="AA228" s="417"/>
    </row>
    <row r="229" spans="1:29" x14ac:dyDescent="0.45">
      <c r="A229" s="71" t="s">
        <v>451</v>
      </c>
      <c r="B229" s="421" t="s">
        <v>815</v>
      </c>
      <c r="C229" s="80"/>
      <c r="D229" s="81"/>
      <c r="E229" s="97">
        <f t="shared" ref="E229:E232" si="45">F229+G229+Y229</f>
        <v>5.3392500000000007</v>
      </c>
      <c r="F229" s="422">
        <f>2.41</f>
        <v>2.41</v>
      </c>
      <c r="G229" s="112">
        <f t="shared" si="42"/>
        <v>2.387</v>
      </c>
      <c r="H229" s="112">
        <v>0.7</v>
      </c>
      <c r="I229" s="112"/>
      <c r="J229" s="112"/>
      <c r="K229" s="112"/>
      <c r="L229" s="112"/>
      <c r="M229" s="112"/>
      <c r="N229" s="112">
        <v>0.7</v>
      </c>
      <c r="O229" s="112">
        <f>+N229*F229</f>
        <v>1.6870000000000001</v>
      </c>
      <c r="P229" s="112"/>
      <c r="Q229" s="112"/>
      <c r="R229" s="112"/>
      <c r="S229" s="112"/>
      <c r="T229" s="112"/>
      <c r="U229" s="112"/>
      <c r="V229" s="112"/>
      <c r="W229" s="112">
        <v>0.1</v>
      </c>
      <c r="X229" s="98">
        <v>0.22500000000000001</v>
      </c>
      <c r="Y229" s="112">
        <f t="shared" si="43"/>
        <v>0.54225000000000001</v>
      </c>
      <c r="Z229" s="98">
        <f t="shared" si="44"/>
        <v>12.493845</v>
      </c>
      <c r="AA229" s="417"/>
    </row>
    <row r="230" spans="1:29" x14ac:dyDescent="0.45">
      <c r="A230" s="71" t="s">
        <v>453</v>
      </c>
      <c r="B230" s="421" t="s">
        <v>816</v>
      </c>
      <c r="C230" s="80"/>
      <c r="D230" s="81"/>
      <c r="E230" s="97">
        <f t="shared" si="45"/>
        <v>5.2044999999999995</v>
      </c>
      <c r="F230" s="422">
        <f>2.34</f>
        <v>2.34</v>
      </c>
      <c r="G230" s="112">
        <f t="shared" si="42"/>
        <v>2.3380000000000001</v>
      </c>
      <c r="H230" s="112">
        <v>0.7</v>
      </c>
      <c r="I230" s="112"/>
      <c r="J230" s="112"/>
      <c r="K230" s="112"/>
      <c r="L230" s="112"/>
      <c r="M230" s="112"/>
      <c r="N230" s="112">
        <v>0.7</v>
      </c>
      <c r="O230" s="112">
        <f>+N230*F230</f>
        <v>1.6379999999999999</v>
      </c>
      <c r="P230" s="112"/>
      <c r="Q230" s="112"/>
      <c r="R230" s="112"/>
      <c r="S230" s="112"/>
      <c r="T230" s="112"/>
      <c r="U230" s="112"/>
      <c r="V230" s="112"/>
      <c r="W230" s="112"/>
      <c r="X230" s="98">
        <v>0.22500000000000001</v>
      </c>
      <c r="Y230" s="112">
        <f t="shared" si="43"/>
        <v>0.52649999999999997</v>
      </c>
      <c r="Z230" s="98">
        <f t="shared" si="44"/>
        <v>12.178529999999999</v>
      </c>
      <c r="AA230" s="417"/>
    </row>
    <row r="231" spans="1:29" x14ac:dyDescent="0.45">
      <c r="A231" s="71" t="s">
        <v>455</v>
      </c>
      <c r="B231" s="421" t="s">
        <v>817</v>
      </c>
      <c r="C231" s="80"/>
      <c r="D231" s="81"/>
      <c r="E231" s="97">
        <f t="shared" si="45"/>
        <v>4.2805</v>
      </c>
      <c r="F231" s="422">
        <f>1.86</f>
        <v>1.86</v>
      </c>
      <c r="G231" s="112">
        <f t="shared" si="42"/>
        <v>2.0019999999999998</v>
      </c>
      <c r="H231" s="112">
        <v>0.7</v>
      </c>
      <c r="I231" s="112"/>
      <c r="J231" s="112"/>
      <c r="K231" s="112"/>
      <c r="L231" s="112"/>
      <c r="M231" s="112"/>
      <c r="N231" s="112">
        <v>0.7</v>
      </c>
      <c r="O231" s="112">
        <f>+N231*F231</f>
        <v>1.302</v>
      </c>
      <c r="P231" s="112"/>
      <c r="Q231" s="112"/>
      <c r="R231" s="112"/>
      <c r="S231" s="112"/>
      <c r="T231" s="112"/>
      <c r="U231" s="112"/>
      <c r="V231" s="112"/>
      <c r="W231" s="112"/>
      <c r="X231" s="98">
        <v>0.22500000000000001</v>
      </c>
      <c r="Y231" s="112">
        <f t="shared" si="43"/>
        <v>0.41850000000000004</v>
      </c>
      <c r="Z231" s="98">
        <f t="shared" si="44"/>
        <v>10.016369999999998</v>
      </c>
      <c r="AA231" s="417"/>
    </row>
    <row r="232" spans="1:29" x14ac:dyDescent="0.45">
      <c r="A232" s="71" t="s">
        <v>457</v>
      </c>
      <c r="B232" s="421" t="s">
        <v>818</v>
      </c>
      <c r="C232" s="80"/>
      <c r="D232" s="81"/>
      <c r="E232" s="97">
        <f t="shared" si="45"/>
        <v>4.2134999999999998</v>
      </c>
      <c r="F232" s="422">
        <f>2.46</f>
        <v>2.46</v>
      </c>
      <c r="G232" s="112">
        <f t="shared" si="42"/>
        <v>1.2</v>
      </c>
      <c r="H232" s="112">
        <v>0.7</v>
      </c>
      <c r="I232" s="112"/>
      <c r="J232" s="112"/>
      <c r="K232" s="112"/>
      <c r="L232" s="112"/>
      <c r="M232" s="112"/>
      <c r="N232" s="112"/>
      <c r="O232" s="112"/>
      <c r="P232" s="112">
        <v>0.5</v>
      </c>
      <c r="Q232" s="112"/>
      <c r="R232" s="112"/>
      <c r="S232" s="112"/>
      <c r="T232" s="112"/>
      <c r="U232" s="112"/>
      <c r="V232" s="112"/>
      <c r="W232" s="112"/>
      <c r="X232" s="98">
        <v>0.22500000000000001</v>
      </c>
      <c r="Y232" s="112">
        <f t="shared" si="43"/>
        <v>0.55349999999999999</v>
      </c>
      <c r="Z232" s="98">
        <f t="shared" si="44"/>
        <v>9.859589999999999</v>
      </c>
      <c r="AA232" s="417"/>
    </row>
    <row r="233" spans="1:29" x14ac:dyDescent="0.45">
      <c r="A233" s="71" t="s">
        <v>459</v>
      </c>
      <c r="B233" s="424" t="s">
        <v>808</v>
      </c>
      <c r="C233" s="425"/>
      <c r="D233" s="426"/>
      <c r="E233" s="97">
        <f>F233+G233+Y233</f>
        <v>5.7792500000000002</v>
      </c>
      <c r="F233" s="427">
        <v>3.33</v>
      </c>
      <c r="G233" s="427">
        <f>+H233+I233+K233+O233+P233</f>
        <v>1.7</v>
      </c>
      <c r="H233" s="427">
        <v>0.7</v>
      </c>
      <c r="I233" s="427"/>
      <c r="J233" s="427"/>
      <c r="K233" s="427"/>
      <c r="L233" s="427"/>
      <c r="M233" s="427"/>
      <c r="N233" s="427"/>
      <c r="O233" s="427"/>
      <c r="P233" s="427">
        <v>1</v>
      </c>
      <c r="Q233" s="427"/>
      <c r="R233" s="427"/>
      <c r="S233" s="427"/>
      <c r="T233" s="427"/>
      <c r="U233" s="427"/>
      <c r="V233" s="427"/>
      <c r="W233" s="427"/>
      <c r="X233" s="98">
        <v>0.22500000000000001</v>
      </c>
      <c r="Y233" s="427">
        <f>+X233*(F233+I233+K233)</f>
        <v>0.74925000000000008</v>
      </c>
      <c r="Z233" s="98">
        <f>E233*2.34</f>
        <v>13.523444999999999</v>
      </c>
      <c r="AA233" s="75"/>
    </row>
    <row r="234" spans="1:29" x14ac:dyDescent="0.45">
      <c r="A234" s="71" t="s">
        <v>461</v>
      </c>
      <c r="B234" s="109" t="s">
        <v>809</v>
      </c>
      <c r="C234" s="425"/>
      <c r="D234" s="426"/>
      <c r="E234" s="97">
        <f>F234+G234+Y234</f>
        <v>2.8664999999999998</v>
      </c>
      <c r="F234" s="427">
        <v>2.34</v>
      </c>
      <c r="G234" s="427"/>
      <c r="H234" s="427"/>
      <c r="I234" s="427"/>
      <c r="J234" s="427"/>
      <c r="K234" s="427"/>
      <c r="L234" s="427"/>
      <c r="M234" s="427"/>
      <c r="N234" s="427"/>
      <c r="O234" s="427"/>
      <c r="P234" s="427"/>
      <c r="Q234" s="427"/>
      <c r="R234" s="427"/>
      <c r="S234" s="427"/>
      <c r="T234" s="427"/>
      <c r="U234" s="427"/>
      <c r="V234" s="427"/>
      <c r="W234" s="427"/>
      <c r="X234" s="98">
        <v>0.22500000000000001</v>
      </c>
      <c r="Y234" s="112">
        <f>+X234*(F234+I234+K234)</f>
        <v>0.52649999999999997</v>
      </c>
      <c r="Z234" s="98">
        <f>E234*2.34</f>
        <v>6.707609999999999</v>
      </c>
      <c r="AA234" s="75"/>
    </row>
    <row r="235" spans="1:29" x14ac:dyDescent="0.45">
      <c r="A235" s="77">
        <v>9</v>
      </c>
      <c r="B235" s="9" t="s">
        <v>826</v>
      </c>
      <c r="C235" s="146"/>
      <c r="D235" s="81"/>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98"/>
      <c r="AA235" s="75"/>
    </row>
    <row r="236" spans="1:29" x14ac:dyDescent="0.45">
      <c r="A236" s="71"/>
      <c r="B236" s="145" t="s">
        <v>804</v>
      </c>
      <c r="C236" s="80"/>
      <c r="D236" s="81"/>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98"/>
      <c r="AA236" s="75"/>
    </row>
    <row r="237" spans="1:29" ht="25.5" x14ac:dyDescent="0.45">
      <c r="A237" s="416">
        <v>10</v>
      </c>
      <c r="B237" s="19" t="s">
        <v>827</v>
      </c>
      <c r="C237" s="416">
        <f>C238+C282</f>
        <v>74</v>
      </c>
      <c r="D237" s="416">
        <f t="shared" ref="D237:Z237" si="46">D238+D282</f>
        <v>66</v>
      </c>
      <c r="E237" s="53">
        <f t="shared" si="46"/>
        <v>497.57905000000005</v>
      </c>
      <c r="F237" s="53">
        <f t="shared" si="46"/>
        <v>240.26</v>
      </c>
      <c r="G237" s="53">
        <f t="shared" si="46"/>
        <v>201.46775</v>
      </c>
      <c r="H237" s="53">
        <f t="shared" si="46"/>
        <v>51.79999999999999</v>
      </c>
      <c r="I237" s="53">
        <f t="shared" si="46"/>
        <v>7.1999999999999993</v>
      </c>
      <c r="J237" s="53">
        <f t="shared" si="46"/>
        <v>0.05</v>
      </c>
      <c r="K237" s="53">
        <f t="shared" si="46"/>
        <v>0.33900000000000002</v>
      </c>
      <c r="L237" s="53">
        <f t="shared" si="46"/>
        <v>0.7</v>
      </c>
      <c r="M237" s="53">
        <f t="shared" si="46"/>
        <v>3.552</v>
      </c>
      <c r="N237" s="53">
        <f t="shared" si="46"/>
        <v>17.5</v>
      </c>
      <c r="O237" s="53">
        <f t="shared" si="46"/>
        <v>42.342999999999996</v>
      </c>
      <c r="P237" s="53">
        <f t="shared" si="46"/>
        <v>39.4</v>
      </c>
      <c r="Q237" s="53">
        <f t="shared" si="46"/>
        <v>16.25</v>
      </c>
      <c r="R237" s="53">
        <f t="shared" si="46"/>
        <v>56.304749999999999</v>
      </c>
      <c r="S237" s="53">
        <f t="shared" si="46"/>
        <v>0</v>
      </c>
      <c r="T237" s="53">
        <f t="shared" si="46"/>
        <v>0</v>
      </c>
      <c r="U237" s="53">
        <f t="shared" si="46"/>
        <v>0.13</v>
      </c>
      <c r="V237" s="53">
        <f t="shared" si="46"/>
        <v>0.42899999999999999</v>
      </c>
      <c r="W237" s="53">
        <f t="shared" si="46"/>
        <v>0.1</v>
      </c>
      <c r="X237" s="53">
        <f t="shared" si="46"/>
        <v>16.649999999999999</v>
      </c>
      <c r="Y237" s="53">
        <f t="shared" si="46"/>
        <v>55.851299999999995</v>
      </c>
      <c r="Z237" s="53">
        <f t="shared" si="46"/>
        <v>1164.334977</v>
      </c>
      <c r="AA237" s="75"/>
      <c r="AB237" s="93">
        <f>E237*12*1.49</f>
        <v>8896.7134140000016</v>
      </c>
    </row>
    <row r="238" spans="1:29" x14ac:dyDescent="0.45">
      <c r="A238" s="19"/>
      <c r="B238" s="19" t="s">
        <v>828</v>
      </c>
      <c r="C238" s="416">
        <f>C239+C258+C266+C275</f>
        <v>39</v>
      </c>
      <c r="D238" s="416">
        <f t="shared" ref="D238:Z238" si="47">D239+D258+D266+D275</f>
        <v>35</v>
      </c>
      <c r="E238" s="53">
        <f>E239+E258+E266+E275</f>
        <v>250.20002499999998</v>
      </c>
      <c r="F238" s="53">
        <f t="shared" si="47"/>
        <v>118.95000000000002</v>
      </c>
      <c r="G238" s="53">
        <f t="shared" si="47"/>
        <v>103.636</v>
      </c>
      <c r="H238" s="53">
        <f t="shared" si="47"/>
        <v>27.299999999999997</v>
      </c>
      <c r="I238" s="53">
        <f t="shared" si="47"/>
        <v>3.3499999999999996</v>
      </c>
      <c r="J238" s="53">
        <f t="shared" si="47"/>
        <v>0</v>
      </c>
      <c r="K238" s="53">
        <f t="shared" si="47"/>
        <v>0</v>
      </c>
      <c r="L238" s="53">
        <f t="shared" si="47"/>
        <v>0</v>
      </c>
      <c r="M238" s="53">
        <f t="shared" si="47"/>
        <v>0</v>
      </c>
      <c r="N238" s="53">
        <f t="shared" si="47"/>
        <v>10.5</v>
      </c>
      <c r="O238" s="53">
        <f t="shared" si="47"/>
        <v>25.521999999999998</v>
      </c>
      <c r="P238" s="53">
        <f t="shared" si="47"/>
        <v>18.7</v>
      </c>
      <c r="Q238" s="53">
        <f t="shared" si="47"/>
        <v>8.75</v>
      </c>
      <c r="R238" s="53">
        <f t="shared" si="47"/>
        <v>28.234999999999999</v>
      </c>
      <c r="S238" s="53">
        <f t="shared" si="47"/>
        <v>0</v>
      </c>
      <c r="T238" s="53">
        <f t="shared" si="47"/>
        <v>0</v>
      </c>
      <c r="U238" s="53">
        <f t="shared" si="47"/>
        <v>0.13</v>
      </c>
      <c r="V238" s="53">
        <f t="shared" si="47"/>
        <v>0.42899999999999999</v>
      </c>
      <c r="W238" s="53">
        <f t="shared" si="47"/>
        <v>0.1</v>
      </c>
      <c r="X238" s="53">
        <f t="shared" si="47"/>
        <v>8.7750000000000004</v>
      </c>
      <c r="Y238" s="53">
        <f t="shared" si="47"/>
        <v>27.614025000000002</v>
      </c>
      <c r="Z238" s="53">
        <f t="shared" si="47"/>
        <v>585.46805849999998</v>
      </c>
      <c r="AA238" s="75"/>
    </row>
    <row r="239" spans="1:29" s="160" customFormat="1" ht="12.75" x14ac:dyDescent="0.45">
      <c r="A239" s="77"/>
      <c r="B239" s="9" t="s">
        <v>829</v>
      </c>
      <c r="C239" s="416">
        <v>18</v>
      </c>
      <c r="D239" s="416">
        <v>16</v>
      </c>
      <c r="E239" s="159">
        <f>SUM(E240:E257)</f>
        <v>118.986525</v>
      </c>
      <c r="F239" s="159">
        <f t="shared" ref="F239:Z239" si="48">SUM(F240:F257)</f>
        <v>55.890000000000015</v>
      </c>
      <c r="G239" s="159">
        <f t="shared" si="48"/>
        <v>49.851000000000006</v>
      </c>
      <c r="H239" s="159">
        <f t="shared" si="48"/>
        <v>12.599999999999996</v>
      </c>
      <c r="I239" s="159">
        <f t="shared" si="48"/>
        <v>2.5499999999999998</v>
      </c>
      <c r="J239" s="159">
        <f t="shared" si="48"/>
        <v>0</v>
      </c>
      <c r="K239" s="159">
        <f t="shared" si="48"/>
        <v>0</v>
      </c>
      <c r="L239" s="159">
        <f t="shared" si="48"/>
        <v>0</v>
      </c>
      <c r="M239" s="159">
        <f t="shared" si="48"/>
        <v>0</v>
      </c>
      <c r="N239" s="159">
        <f t="shared" si="48"/>
        <v>4.9000000000000004</v>
      </c>
      <c r="O239" s="159">
        <f t="shared" si="48"/>
        <v>11.731999999999999</v>
      </c>
      <c r="P239" s="159">
        <f t="shared" si="48"/>
        <v>9.1</v>
      </c>
      <c r="Q239" s="159">
        <f t="shared" si="48"/>
        <v>4</v>
      </c>
      <c r="R239" s="159">
        <f t="shared" si="48"/>
        <v>13.440000000000001</v>
      </c>
      <c r="S239" s="159">
        <f t="shared" si="48"/>
        <v>0</v>
      </c>
      <c r="T239" s="159">
        <f t="shared" si="48"/>
        <v>0</v>
      </c>
      <c r="U239" s="159">
        <f t="shared" si="48"/>
        <v>0.13</v>
      </c>
      <c r="V239" s="159">
        <f t="shared" si="48"/>
        <v>0.42899999999999999</v>
      </c>
      <c r="W239" s="159">
        <f t="shared" si="48"/>
        <v>0</v>
      </c>
      <c r="X239" s="159">
        <f t="shared" si="48"/>
        <v>4.0500000000000007</v>
      </c>
      <c r="Y239" s="159">
        <f t="shared" si="48"/>
        <v>13.245525000000001</v>
      </c>
      <c r="Z239" s="159">
        <f t="shared" si="48"/>
        <v>278.42846850000001</v>
      </c>
      <c r="AA239" s="419"/>
      <c r="AB239" s="93">
        <f>E239*12*2.34</f>
        <v>3341.1416219999996</v>
      </c>
      <c r="AC239" s="93">
        <f>F239*10%*2.34*12</f>
        <v>156.93912000000006</v>
      </c>
    </row>
    <row r="240" spans="1:29" s="61" customFormat="1" ht="16.899999999999999" customHeight="1" x14ac:dyDescent="0.45">
      <c r="A240" s="71" t="s">
        <v>188</v>
      </c>
      <c r="B240" s="161" t="s">
        <v>830</v>
      </c>
      <c r="C240" s="86"/>
      <c r="D240" s="86"/>
      <c r="E240" s="97">
        <f>F240+G240+Y240</f>
        <v>8.5145</v>
      </c>
      <c r="F240" s="428">
        <v>4.32</v>
      </c>
      <c r="G240" s="98">
        <f>H240+I240+K240+M240+O240+P240+R240+T240+V240+W240</f>
        <v>3.1550000000000002</v>
      </c>
      <c r="H240" s="98">
        <v>0.7</v>
      </c>
      <c r="I240" s="105">
        <v>0.3</v>
      </c>
      <c r="J240" s="98"/>
      <c r="K240" s="98"/>
      <c r="L240" s="98"/>
      <c r="M240" s="98"/>
      <c r="N240" s="98"/>
      <c r="O240" s="98"/>
      <c r="P240" s="115">
        <v>1</v>
      </c>
      <c r="Q240" s="98">
        <v>0.25</v>
      </c>
      <c r="R240" s="98">
        <f>Q240*(F240+I240+K240)</f>
        <v>1.155</v>
      </c>
      <c r="S240" s="98"/>
      <c r="T240" s="98"/>
      <c r="U240" s="98"/>
      <c r="V240" s="98"/>
      <c r="W240" s="98"/>
      <c r="X240" s="98">
        <v>0.22500000000000001</v>
      </c>
      <c r="Y240" s="98">
        <f>X240*(F240+I240+K240+V240)</f>
        <v>1.0395000000000001</v>
      </c>
      <c r="Z240" s="98">
        <f>E240*2.34</f>
        <v>19.923929999999999</v>
      </c>
      <c r="AA240" s="162"/>
    </row>
    <row r="241" spans="1:27" s="61" customFormat="1" ht="16.899999999999999" customHeight="1" x14ac:dyDescent="0.45">
      <c r="A241" s="71" t="s">
        <v>439</v>
      </c>
      <c r="B241" s="161" t="s">
        <v>831</v>
      </c>
      <c r="C241" s="86"/>
      <c r="D241" s="86"/>
      <c r="E241" s="97">
        <f t="shared" ref="E241:E281" si="49">F241+G241+Y241</f>
        <v>6.6067499999999999</v>
      </c>
      <c r="F241" s="428">
        <v>3.33</v>
      </c>
      <c r="G241" s="98">
        <f t="shared" ref="G241:G274" si="50">H241+I241+K241+M241+O241+P241+R241+T241+V241+W241</f>
        <v>2.4824999999999999</v>
      </c>
      <c r="H241" s="98">
        <v>0.7</v>
      </c>
      <c r="I241" s="105">
        <v>0.2</v>
      </c>
      <c r="J241" s="98"/>
      <c r="K241" s="98"/>
      <c r="L241" s="98"/>
      <c r="M241" s="98"/>
      <c r="N241" s="98"/>
      <c r="O241" s="98"/>
      <c r="P241" s="115">
        <v>0.7</v>
      </c>
      <c r="Q241" s="98">
        <v>0.25</v>
      </c>
      <c r="R241" s="98">
        <f>Q241*(F241+I241+K241)</f>
        <v>0.88250000000000006</v>
      </c>
      <c r="S241" s="98"/>
      <c r="T241" s="98"/>
      <c r="U241" s="98"/>
      <c r="V241" s="98"/>
      <c r="W241" s="98"/>
      <c r="X241" s="98">
        <v>0.22500000000000001</v>
      </c>
      <c r="Y241" s="98">
        <f>X241*(F241+I241+K241+V241)</f>
        <v>0.79425000000000012</v>
      </c>
      <c r="Z241" s="98">
        <f>E241*2.34</f>
        <v>15.459794999999998</v>
      </c>
      <c r="AA241" s="162"/>
    </row>
    <row r="242" spans="1:27" s="61" customFormat="1" ht="16.899999999999999" customHeight="1" x14ac:dyDescent="0.45">
      <c r="A242" s="71" t="s">
        <v>441</v>
      </c>
      <c r="B242" s="161" t="s">
        <v>832</v>
      </c>
      <c r="C242" s="86"/>
      <c r="D242" s="86"/>
      <c r="E242" s="97">
        <f t="shared" si="49"/>
        <v>6.2244999999999999</v>
      </c>
      <c r="F242" s="428">
        <v>2.34</v>
      </c>
      <c r="G242" s="98">
        <f t="shared" si="50"/>
        <v>3.3129999999999997</v>
      </c>
      <c r="H242" s="98">
        <v>0.7</v>
      </c>
      <c r="I242" s="105">
        <v>0.2</v>
      </c>
      <c r="J242" s="98"/>
      <c r="K242" s="98"/>
      <c r="L242" s="98"/>
      <c r="M242" s="98"/>
      <c r="N242" s="98">
        <v>0.7</v>
      </c>
      <c r="O242" s="98">
        <f>N242*(F242+I242+K242)</f>
        <v>1.7779999999999998</v>
      </c>
      <c r="P242" s="115"/>
      <c r="Q242" s="98">
        <v>0.25</v>
      </c>
      <c r="R242" s="98">
        <f t="shared" ref="R242:R272" si="51">Q242*(F242+I242+K242)</f>
        <v>0.63500000000000001</v>
      </c>
      <c r="S242" s="98"/>
      <c r="T242" s="98"/>
      <c r="U242" s="98"/>
      <c r="V242" s="98"/>
      <c r="W242" s="98"/>
      <c r="X242" s="98">
        <v>0.22500000000000001</v>
      </c>
      <c r="Y242" s="98">
        <f t="shared" ref="Y242:Y274" si="52">X242*(F242+I242+K242+V242)</f>
        <v>0.57150000000000001</v>
      </c>
      <c r="Z242" s="98">
        <f t="shared" ref="Z242:Z274" si="53">E242*2.34</f>
        <v>14.565329999999999</v>
      </c>
      <c r="AA242" s="162"/>
    </row>
    <row r="243" spans="1:27" s="61" customFormat="1" ht="16.899999999999999" customHeight="1" x14ac:dyDescent="0.45">
      <c r="A243" s="71" t="s">
        <v>443</v>
      </c>
      <c r="B243" s="156" t="s">
        <v>833</v>
      </c>
      <c r="C243" s="86"/>
      <c r="D243" s="86"/>
      <c r="E243" s="97">
        <f t="shared" si="49"/>
        <v>6.5072499999999991</v>
      </c>
      <c r="F243" s="428">
        <v>2.67</v>
      </c>
      <c r="G243" s="98">
        <f t="shared" si="50"/>
        <v>3.2364999999999999</v>
      </c>
      <c r="H243" s="98">
        <v>0.7</v>
      </c>
      <c r="I243" s="98"/>
      <c r="J243" s="98"/>
      <c r="K243" s="98"/>
      <c r="L243" s="98"/>
      <c r="M243" s="98"/>
      <c r="N243" s="98">
        <v>0.7</v>
      </c>
      <c r="O243" s="98">
        <f>N243*(F243+I243+K243)</f>
        <v>1.8689999999999998</v>
      </c>
      <c r="P243" s="115"/>
      <c r="Q243" s="98">
        <v>0.25</v>
      </c>
      <c r="R243" s="98">
        <f t="shared" si="51"/>
        <v>0.66749999999999998</v>
      </c>
      <c r="S243" s="98"/>
      <c r="T243" s="98"/>
      <c r="U243" s="98"/>
      <c r="V243" s="98"/>
      <c r="W243" s="98"/>
      <c r="X243" s="98">
        <v>0.22500000000000001</v>
      </c>
      <c r="Y243" s="98">
        <f t="shared" si="52"/>
        <v>0.60075000000000001</v>
      </c>
      <c r="Z243" s="98">
        <f t="shared" si="53"/>
        <v>15.226964999999996</v>
      </c>
      <c r="AA243" s="162"/>
    </row>
    <row r="244" spans="1:27" s="61" customFormat="1" ht="16.899999999999999" customHeight="1" x14ac:dyDescent="0.45">
      <c r="A244" s="71" t="s">
        <v>445</v>
      </c>
      <c r="B244" s="161" t="s">
        <v>834</v>
      </c>
      <c r="C244" s="86"/>
      <c r="D244" s="86"/>
      <c r="E244" s="97">
        <f t="shared" si="49"/>
        <v>8.4702500000000001</v>
      </c>
      <c r="F244" s="428">
        <v>3.99</v>
      </c>
      <c r="G244" s="98">
        <f t="shared" si="50"/>
        <v>3.4474999999999998</v>
      </c>
      <c r="H244" s="98">
        <v>0.7</v>
      </c>
      <c r="I244" s="105">
        <v>0.6</v>
      </c>
      <c r="J244" s="98"/>
      <c r="K244" s="98"/>
      <c r="L244" s="98"/>
      <c r="M244" s="98"/>
      <c r="N244" s="98"/>
      <c r="O244" s="98"/>
      <c r="P244" s="115">
        <v>1</v>
      </c>
      <c r="Q244" s="98">
        <v>0.25</v>
      </c>
      <c r="R244" s="98">
        <f t="shared" si="51"/>
        <v>1.1475</v>
      </c>
      <c r="S244" s="98"/>
      <c r="T244" s="98"/>
      <c r="U244" s="98"/>
      <c r="V244" s="98"/>
      <c r="W244" s="98"/>
      <c r="X244" s="98">
        <v>0.22500000000000001</v>
      </c>
      <c r="Y244" s="98">
        <f t="shared" si="52"/>
        <v>1.0327500000000001</v>
      </c>
      <c r="Z244" s="98">
        <f t="shared" si="53"/>
        <v>19.820384999999998</v>
      </c>
      <c r="AA244" s="162"/>
    </row>
    <row r="245" spans="1:27" s="61" customFormat="1" ht="16.899999999999999" customHeight="1" x14ac:dyDescent="0.45">
      <c r="A245" s="71" t="s">
        <v>447</v>
      </c>
      <c r="B245" s="161" t="s">
        <v>835</v>
      </c>
      <c r="C245" s="86"/>
      <c r="D245" s="86"/>
      <c r="E245" s="97">
        <f t="shared" si="49"/>
        <v>8.3227499999999992</v>
      </c>
      <c r="F245" s="428">
        <v>3.99</v>
      </c>
      <c r="G245" s="98">
        <f t="shared" si="50"/>
        <v>3.3225000000000002</v>
      </c>
      <c r="H245" s="98">
        <v>0.7</v>
      </c>
      <c r="I245" s="105">
        <v>0.5</v>
      </c>
      <c r="J245" s="98"/>
      <c r="K245" s="98"/>
      <c r="L245" s="98"/>
      <c r="M245" s="98"/>
      <c r="N245" s="98"/>
      <c r="O245" s="98"/>
      <c r="P245" s="115">
        <v>1</v>
      </c>
      <c r="Q245" s="98">
        <v>0.25</v>
      </c>
      <c r="R245" s="98">
        <f t="shared" si="51"/>
        <v>1.1225000000000001</v>
      </c>
      <c r="S245" s="98"/>
      <c r="T245" s="98"/>
      <c r="U245" s="98"/>
      <c r="V245" s="98"/>
      <c r="W245" s="98"/>
      <c r="X245" s="98">
        <v>0.22500000000000001</v>
      </c>
      <c r="Y245" s="98">
        <f t="shared" si="52"/>
        <v>1.0102500000000001</v>
      </c>
      <c r="Z245" s="98">
        <f t="shared" si="53"/>
        <v>19.475234999999998</v>
      </c>
      <c r="AA245" s="162"/>
    </row>
    <row r="246" spans="1:27" s="61" customFormat="1" ht="16.899999999999999" customHeight="1" x14ac:dyDescent="0.45">
      <c r="A246" s="71" t="s">
        <v>449</v>
      </c>
      <c r="B246" s="161" t="s">
        <v>836</v>
      </c>
      <c r="C246" s="86"/>
      <c r="D246" s="86"/>
      <c r="E246" s="97">
        <f t="shared" si="49"/>
        <v>9.2962500000000006</v>
      </c>
      <c r="F246" s="428">
        <v>4.6500000000000004</v>
      </c>
      <c r="G246" s="98">
        <f t="shared" si="50"/>
        <v>3.4875000000000003</v>
      </c>
      <c r="H246" s="98">
        <v>0.7</v>
      </c>
      <c r="I246" s="105">
        <v>0.5</v>
      </c>
      <c r="J246" s="98"/>
      <c r="K246" s="98"/>
      <c r="L246" s="98"/>
      <c r="M246" s="98"/>
      <c r="N246" s="98"/>
      <c r="O246" s="98"/>
      <c r="P246" s="115">
        <v>1</v>
      </c>
      <c r="Q246" s="98">
        <v>0.25</v>
      </c>
      <c r="R246" s="98">
        <f t="shared" si="51"/>
        <v>1.2875000000000001</v>
      </c>
      <c r="S246" s="98"/>
      <c r="T246" s="98"/>
      <c r="U246" s="98"/>
      <c r="V246" s="98"/>
      <c r="W246" s="98"/>
      <c r="X246" s="98">
        <v>0.22500000000000001</v>
      </c>
      <c r="Y246" s="98">
        <f t="shared" si="52"/>
        <v>1.1587500000000002</v>
      </c>
      <c r="Z246" s="98">
        <f t="shared" si="53"/>
        <v>21.753225</v>
      </c>
      <c r="AA246" s="162"/>
    </row>
    <row r="247" spans="1:27" s="61" customFormat="1" ht="16.899999999999999" customHeight="1" x14ac:dyDescent="0.45">
      <c r="A247" s="71" t="s">
        <v>451</v>
      </c>
      <c r="B247" s="161" t="s">
        <v>837</v>
      </c>
      <c r="C247" s="86"/>
      <c r="D247" s="86"/>
      <c r="E247" s="97">
        <f t="shared" si="49"/>
        <v>6.9805000000000001</v>
      </c>
      <c r="F247" s="428">
        <v>3.33</v>
      </c>
      <c r="G247" s="98">
        <f t="shared" si="50"/>
        <v>2.8449999999999998</v>
      </c>
      <c r="H247" s="98">
        <v>0.7</v>
      </c>
      <c r="I247" s="105">
        <v>0.25</v>
      </c>
      <c r="J247" s="98"/>
      <c r="K247" s="98"/>
      <c r="L247" s="98"/>
      <c r="M247" s="98"/>
      <c r="N247" s="98"/>
      <c r="O247" s="98"/>
      <c r="P247" s="115">
        <v>1</v>
      </c>
      <c r="Q247" s="98">
        <v>0.25</v>
      </c>
      <c r="R247" s="98">
        <f t="shared" si="51"/>
        <v>0.89500000000000002</v>
      </c>
      <c r="S247" s="98"/>
      <c r="T247" s="98"/>
      <c r="U247" s="98"/>
      <c r="V247" s="98"/>
      <c r="W247" s="98"/>
      <c r="X247" s="98">
        <v>0.22500000000000001</v>
      </c>
      <c r="Y247" s="98">
        <f t="shared" si="52"/>
        <v>0.80549999999999999</v>
      </c>
      <c r="Z247" s="98">
        <f t="shared" si="53"/>
        <v>16.33437</v>
      </c>
      <c r="AA247" s="162"/>
    </row>
    <row r="248" spans="1:27" s="61" customFormat="1" ht="16.899999999999999" customHeight="1" x14ac:dyDescent="0.45">
      <c r="A248" s="71" t="s">
        <v>453</v>
      </c>
      <c r="B248" s="163" t="s">
        <v>838</v>
      </c>
      <c r="C248" s="86"/>
      <c r="D248" s="86"/>
      <c r="E248" s="97">
        <f t="shared" si="49"/>
        <v>5.1382499999999993</v>
      </c>
      <c r="F248" s="428">
        <v>2.67</v>
      </c>
      <c r="G248" s="98">
        <f t="shared" si="50"/>
        <v>1.8674999999999999</v>
      </c>
      <c r="H248" s="98">
        <v>0.7</v>
      </c>
      <c r="I248" s="98"/>
      <c r="J248" s="98"/>
      <c r="K248" s="98"/>
      <c r="L248" s="98"/>
      <c r="M248" s="98"/>
      <c r="N248" s="98"/>
      <c r="O248" s="98"/>
      <c r="P248" s="115">
        <v>0.5</v>
      </c>
      <c r="Q248" s="98">
        <v>0.25</v>
      </c>
      <c r="R248" s="98">
        <f t="shared" si="51"/>
        <v>0.66749999999999998</v>
      </c>
      <c r="S248" s="98"/>
      <c r="T248" s="98"/>
      <c r="U248" s="98"/>
      <c r="V248" s="98"/>
      <c r="W248" s="98"/>
      <c r="X248" s="98">
        <v>0.22500000000000001</v>
      </c>
      <c r="Y248" s="98">
        <f t="shared" si="52"/>
        <v>0.60075000000000001</v>
      </c>
      <c r="Z248" s="98">
        <f t="shared" si="53"/>
        <v>12.023504999999998</v>
      </c>
      <c r="AA248" s="162"/>
    </row>
    <row r="249" spans="1:27" s="61" customFormat="1" ht="16.899999999999999" customHeight="1" x14ac:dyDescent="0.45">
      <c r="A249" s="71" t="s">
        <v>455</v>
      </c>
      <c r="B249" s="163" t="s">
        <v>839</v>
      </c>
      <c r="C249" s="86"/>
      <c r="D249" s="86"/>
      <c r="E249" s="97">
        <f t="shared" si="49"/>
        <v>6.7984999999999998</v>
      </c>
      <c r="F249" s="428">
        <v>3.66</v>
      </c>
      <c r="G249" s="98">
        <f t="shared" si="50"/>
        <v>2.3149999999999999</v>
      </c>
      <c r="H249" s="98">
        <v>0.7</v>
      </c>
      <c r="I249" s="98"/>
      <c r="J249" s="98"/>
      <c r="K249" s="98"/>
      <c r="L249" s="98"/>
      <c r="M249" s="98"/>
      <c r="N249" s="98"/>
      <c r="O249" s="98"/>
      <c r="P249" s="115">
        <v>0.7</v>
      </c>
      <c r="Q249" s="98">
        <v>0.25</v>
      </c>
      <c r="R249" s="98">
        <f t="shared" si="51"/>
        <v>0.91500000000000004</v>
      </c>
      <c r="S249" s="98"/>
      <c r="T249" s="98"/>
      <c r="U249" s="98"/>
      <c r="V249" s="98"/>
      <c r="W249" s="98"/>
      <c r="X249" s="98">
        <v>0.22500000000000001</v>
      </c>
      <c r="Y249" s="98">
        <f t="shared" si="52"/>
        <v>0.82350000000000001</v>
      </c>
      <c r="Z249" s="98">
        <f t="shared" si="53"/>
        <v>15.908489999999999</v>
      </c>
      <c r="AA249" s="162"/>
    </row>
    <row r="250" spans="1:27" s="61" customFormat="1" ht="14.75" customHeight="1" x14ac:dyDescent="0.45">
      <c r="A250" s="71" t="s">
        <v>457</v>
      </c>
      <c r="B250" s="161" t="s">
        <v>840</v>
      </c>
      <c r="C250" s="86"/>
      <c r="D250" s="86"/>
      <c r="E250" s="97">
        <f t="shared" si="49"/>
        <v>5.7895000000000003</v>
      </c>
      <c r="F250" s="428">
        <v>2.34</v>
      </c>
      <c r="G250" s="98">
        <f t="shared" si="50"/>
        <v>2.923</v>
      </c>
      <c r="H250" s="98">
        <v>0.7</v>
      </c>
      <c r="I250" s="98"/>
      <c r="J250" s="98"/>
      <c r="K250" s="98"/>
      <c r="L250" s="98"/>
      <c r="M250" s="98"/>
      <c r="N250" s="98">
        <v>0.7</v>
      </c>
      <c r="O250" s="98">
        <f>N250*(F250+I250+K250)</f>
        <v>1.6379999999999999</v>
      </c>
      <c r="P250" s="115"/>
      <c r="Q250" s="98">
        <v>0.25</v>
      </c>
      <c r="R250" s="98">
        <f t="shared" si="51"/>
        <v>0.58499999999999996</v>
      </c>
      <c r="S250" s="98"/>
      <c r="T250" s="98"/>
      <c r="U250" s="98"/>
      <c r="V250" s="98"/>
      <c r="W250" s="98"/>
      <c r="X250" s="98">
        <v>0.22500000000000001</v>
      </c>
      <c r="Y250" s="98">
        <f t="shared" si="52"/>
        <v>0.52649999999999997</v>
      </c>
      <c r="Z250" s="98">
        <f t="shared" si="53"/>
        <v>13.54743</v>
      </c>
      <c r="AA250" s="162" t="s">
        <v>841</v>
      </c>
    </row>
    <row r="251" spans="1:27" s="61" customFormat="1" ht="16.899999999999999" customHeight="1" x14ac:dyDescent="0.45">
      <c r="A251" s="71" t="s">
        <v>459</v>
      </c>
      <c r="B251" s="156" t="s">
        <v>842</v>
      </c>
      <c r="C251" s="86"/>
      <c r="D251" s="86"/>
      <c r="E251" s="97">
        <f t="shared" si="49"/>
        <v>5.625</v>
      </c>
      <c r="F251" s="428">
        <v>3</v>
      </c>
      <c r="G251" s="98">
        <f t="shared" si="50"/>
        <v>1.95</v>
      </c>
      <c r="H251" s="98">
        <v>0.7</v>
      </c>
      <c r="I251" s="98"/>
      <c r="J251" s="98"/>
      <c r="K251" s="98"/>
      <c r="L251" s="98"/>
      <c r="M251" s="98"/>
      <c r="N251" s="98"/>
      <c r="O251" s="98"/>
      <c r="P251" s="115">
        <v>0.5</v>
      </c>
      <c r="Q251" s="98">
        <v>0.25</v>
      </c>
      <c r="R251" s="98">
        <f t="shared" si="51"/>
        <v>0.75</v>
      </c>
      <c r="S251" s="98"/>
      <c r="T251" s="98"/>
      <c r="U251" s="98"/>
      <c r="V251" s="98"/>
      <c r="W251" s="98"/>
      <c r="X251" s="98">
        <v>0.22500000000000001</v>
      </c>
      <c r="Y251" s="98">
        <f t="shared" si="52"/>
        <v>0.67500000000000004</v>
      </c>
      <c r="Z251" s="98">
        <f t="shared" si="53"/>
        <v>13.1625</v>
      </c>
      <c r="AA251" s="162"/>
    </row>
    <row r="252" spans="1:27" s="61" customFormat="1" ht="16.899999999999999" customHeight="1" x14ac:dyDescent="0.45">
      <c r="A252" s="71" t="s">
        <v>461</v>
      </c>
      <c r="B252" s="161" t="s">
        <v>843</v>
      </c>
      <c r="C252" s="86"/>
      <c r="D252" s="86"/>
      <c r="E252" s="97">
        <f t="shared" si="49"/>
        <v>6.5072499999999991</v>
      </c>
      <c r="F252" s="428">
        <v>2.67</v>
      </c>
      <c r="G252" s="98">
        <f t="shared" si="50"/>
        <v>3.2364999999999999</v>
      </c>
      <c r="H252" s="98">
        <v>0.7</v>
      </c>
      <c r="I252" s="98"/>
      <c r="J252" s="98"/>
      <c r="K252" s="98"/>
      <c r="L252" s="98"/>
      <c r="M252" s="98"/>
      <c r="N252" s="98">
        <v>0.7</v>
      </c>
      <c r="O252" s="98">
        <f>N252*(F252+I252+K252)</f>
        <v>1.8689999999999998</v>
      </c>
      <c r="P252" s="115"/>
      <c r="Q252" s="98">
        <v>0.25</v>
      </c>
      <c r="R252" s="98">
        <f t="shared" si="51"/>
        <v>0.66749999999999998</v>
      </c>
      <c r="S252" s="98"/>
      <c r="T252" s="98"/>
      <c r="U252" s="98"/>
      <c r="V252" s="98"/>
      <c r="W252" s="98"/>
      <c r="X252" s="98">
        <v>0.22500000000000001</v>
      </c>
      <c r="Y252" s="98">
        <f t="shared" si="52"/>
        <v>0.60075000000000001</v>
      </c>
      <c r="Z252" s="98">
        <f t="shared" si="53"/>
        <v>15.226964999999996</v>
      </c>
      <c r="AA252" s="162"/>
    </row>
    <row r="253" spans="1:27" s="61" customFormat="1" ht="16.899999999999999" customHeight="1" x14ac:dyDescent="0.45">
      <c r="A253" s="71" t="s">
        <v>463</v>
      </c>
      <c r="B253" s="161" t="s">
        <v>844</v>
      </c>
      <c r="C253" s="86"/>
      <c r="D253" s="86"/>
      <c r="E253" s="97">
        <f t="shared" si="49"/>
        <v>6.6117499999999998</v>
      </c>
      <c r="F253" s="428">
        <v>3.33</v>
      </c>
      <c r="G253" s="98">
        <f t="shared" si="50"/>
        <v>2.5324999999999998</v>
      </c>
      <c r="H253" s="98">
        <v>0.7</v>
      </c>
      <c r="I253" s="98"/>
      <c r="J253" s="98"/>
      <c r="K253" s="98"/>
      <c r="L253" s="98"/>
      <c r="M253" s="98"/>
      <c r="N253" s="98"/>
      <c r="O253" s="98"/>
      <c r="P253" s="115">
        <v>1</v>
      </c>
      <c r="Q253" s="98">
        <v>0.25</v>
      </c>
      <c r="R253" s="98">
        <f t="shared" si="51"/>
        <v>0.83250000000000002</v>
      </c>
      <c r="S253" s="98"/>
      <c r="T253" s="98"/>
      <c r="U253" s="98"/>
      <c r="V253" s="98"/>
      <c r="W253" s="98"/>
      <c r="X253" s="98">
        <v>0.22500000000000001</v>
      </c>
      <c r="Y253" s="98">
        <f t="shared" si="52"/>
        <v>0.74925000000000008</v>
      </c>
      <c r="Z253" s="98">
        <f t="shared" si="53"/>
        <v>15.471494999999999</v>
      </c>
      <c r="AA253" s="162"/>
    </row>
    <row r="254" spans="1:27" s="61" customFormat="1" ht="16.899999999999999" customHeight="1" x14ac:dyDescent="0.45">
      <c r="A254" s="71" t="s">
        <v>465</v>
      </c>
      <c r="B254" s="109" t="s">
        <v>845</v>
      </c>
      <c r="C254" s="86"/>
      <c r="D254" s="86"/>
      <c r="E254" s="97">
        <f t="shared" si="49"/>
        <v>6.439025</v>
      </c>
      <c r="F254" s="428">
        <v>3.06</v>
      </c>
      <c r="G254" s="98">
        <f t="shared" si="50"/>
        <v>2.5939999999999999</v>
      </c>
      <c r="H254" s="98">
        <v>0.7</v>
      </c>
      <c r="I254" s="98"/>
      <c r="J254" s="98"/>
      <c r="K254" s="98"/>
      <c r="L254" s="98"/>
      <c r="M254" s="98"/>
      <c r="N254" s="98"/>
      <c r="O254" s="98"/>
      <c r="P254" s="115">
        <v>0.7</v>
      </c>
      <c r="Q254" s="98">
        <v>0.25</v>
      </c>
      <c r="R254" s="98">
        <f t="shared" si="51"/>
        <v>0.76500000000000001</v>
      </c>
      <c r="S254" s="98"/>
      <c r="T254" s="98"/>
      <c r="U254" s="98">
        <v>0.13</v>
      </c>
      <c r="V254" s="98">
        <v>0.42899999999999999</v>
      </c>
      <c r="W254" s="98"/>
      <c r="X254" s="98">
        <v>0.22500000000000001</v>
      </c>
      <c r="Y254" s="98">
        <f t="shared" si="52"/>
        <v>0.78502499999999997</v>
      </c>
      <c r="Z254" s="98">
        <f t="shared" si="53"/>
        <v>15.067318499999999</v>
      </c>
      <c r="AA254" s="162"/>
    </row>
    <row r="255" spans="1:27" s="61" customFormat="1" ht="16.899999999999999" customHeight="1" x14ac:dyDescent="0.45">
      <c r="A255" s="71" t="s">
        <v>467</v>
      </c>
      <c r="B255" s="109" t="s">
        <v>846</v>
      </c>
      <c r="C255" s="86"/>
      <c r="D255" s="86"/>
      <c r="E255" s="97">
        <f t="shared" si="49"/>
        <v>4.7454999999999998</v>
      </c>
      <c r="F255" s="428">
        <v>1.86</v>
      </c>
      <c r="G255" s="98">
        <f t="shared" si="50"/>
        <v>2.4669999999999996</v>
      </c>
      <c r="H255" s="98">
        <v>0.7</v>
      </c>
      <c r="I255" s="98"/>
      <c r="J255" s="98"/>
      <c r="K255" s="98"/>
      <c r="L255" s="98"/>
      <c r="M255" s="98"/>
      <c r="N255" s="98">
        <v>0.7</v>
      </c>
      <c r="O255" s="98">
        <f>N255*(F255+I255+K255)</f>
        <v>1.302</v>
      </c>
      <c r="P255" s="98"/>
      <c r="Q255" s="98">
        <v>0.25</v>
      </c>
      <c r="R255" s="98">
        <f t="shared" si="51"/>
        <v>0.46500000000000002</v>
      </c>
      <c r="S255" s="98"/>
      <c r="T255" s="98"/>
      <c r="U255" s="98"/>
      <c r="V255" s="98"/>
      <c r="W255" s="98"/>
      <c r="X255" s="98">
        <v>0.22500000000000001</v>
      </c>
      <c r="Y255" s="98">
        <f t="shared" si="52"/>
        <v>0.41850000000000004</v>
      </c>
      <c r="Z255" s="98">
        <f t="shared" si="53"/>
        <v>11.104469999999999</v>
      </c>
      <c r="AA255" s="162"/>
    </row>
    <row r="256" spans="1:27" s="61" customFormat="1" ht="16.899999999999999" customHeight="1" x14ac:dyDescent="0.45">
      <c r="A256" s="71" t="s">
        <v>469</v>
      </c>
      <c r="B256" s="109" t="s">
        <v>809</v>
      </c>
      <c r="C256" s="86"/>
      <c r="D256" s="86"/>
      <c r="E256" s="97">
        <f t="shared" si="49"/>
        <v>5.2044999999999995</v>
      </c>
      <c r="F256" s="428">
        <v>2.34</v>
      </c>
      <c r="G256" s="98">
        <f t="shared" si="50"/>
        <v>2.3380000000000001</v>
      </c>
      <c r="H256" s="98">
        <v>0.7</v>
      </c>
      <c r="I256" s="98"/>
      <c r="J256" s="98"/>
      <c r="K256" s="98"/>
      <c r="L256" s="98"/>
      <c r="M256" s="98"/>
      <c r="N256" s="98">
        <v>0.7</v>
      </c>
      <c r="O256" s="98">
        <f>N256*(F256+I256+K256)</f>
        <v>1.6379999999999999</v>
      </c>
      <c r="P256" s="98"/>
      <c r="Q256" s="98"/>
      <c r="R256" s="98"/>
      <c r="S256" s="98"/>
      <c r="T256" s="98"/>
      <c r="U256" s="98"/>
      <c r="V256" s="98"/>
      <c r="W256" s="98"/>
      <c r="X256" s="98">
        <v>0.22500000000000001</v>
      </c>
      <c r="Y256" s="98">
        <f t="shared" si="52"/>
        <v>0.52649999999999997</v>
      </c>
      <c r="Z256" s="98">
        <f t="shared" si="53"/>
        <v>12.178529999999999</v>
      </c>
      <c r="AA256" s="162"/>
    </row>
    <row r="257" spans="1:29" s="61" customFormat="1" ht="16.899999999999999" customHeight="1" x14ac:dyDescent="0.45">
      <c r="A257" s="71" t="s">
        <v>471</v>
      </c>
      <c r="B257" s="109" t="s">
        <v>809</v>
      </c>
      <c r="C257" s="86"/>
      <c r="D257" s="86"/>
      <c r="E257" s="97">
        <f t="shared" si="49"/>
        <v>5.2044999999999995</v>
      </c>
      <c r="F257" s="428">
        <v>2.34</v>
      </c>
      <c r="G257" s="98">
        <f t="shared" si="50"/>
        <v>2.3380000000000001</v>
      </c>
      <c r="H257" s="98">
        <v>0.7</v>
      </c>
      <c r="I257" s="98"/>
      <c r="J257" s="98"/>
      <c r="K257" s="98"/>
      <c r="L257" s="98"/>
      <c r="M257" s="98"/>
      <c r="N257" s="98">
        <v>0.7</v>
      </c>
      <c r="O257" s="98">
        <f>N257*(F257+I257+K257)</f>
        <v>1.6379999999999999</v>
      </c>
      <c r="P257" s="98"/>
      <c r="Q257" s="98"/>
      <c r="R257" s="98"/>
      <c r="S257" s="98"/>
      <c r="T257" s="98"/>
      <c r="U257" s="98"/>
      <c r="V257" s="98"/>
      <c r="W257" s="98"/>
      <c r="X257" s="98">
        <v>0.22500000000000001</v>
      </c>
      <c r="Y257" s="98">
        <f t="shared" si="52"/>
        <v>0.52649999999999997</v>
      </c>
      <c r="Z257" s="98">
        <f t="shared" si="53"/>
        <v>12.178529999999999</v>
      </c>
      <c r="AA257" s="162"/>
    </row>
    <row r="258" spans="1:29" s="61" customFormat="1" x14ac:dyDescent="0.45">
      <c r="A258" s="77"/>
      <c r="B258" s="9" t="s">
        <v>283</v>
      </c>
      <c r="C258" s="416">
        <v>7</v>
      </c>
      <c r="D258" s="416">
        <v>7</v>
      </c>
      <c r="E258" s="159">
        <f>SUM(E259:E265)</f>
        <v>45.398249999999997</v>
      </c>
      <c r="F258" s="159">
        <f t="shared" ref="F258:Z258" si="54">SUM(F259:F265)</f>
        <v>23.97</v>
      </c>
      <c r="G258" s="159">
        <f t="shared" si="54"/>
        <v>15.967499999999998</v>
      </c>
      <c r="H258" s="159">
        <f t="shared" si="54"/>
        <v>4.9000000000000004</v>
      </c>
      <c r="I258" s="159">
        <f t="shared" si="54"/>
        <v>0.3</v>
      </c>
      <c r="J258" s="159">
        <f t="shared" si="54"/>
        <v>0</v>
      </c>
      <c r="K258" s="159">
        <f t="shared" si="54"/>
        <v>0</v>
      </c>
      <c r="L258" s="159">
        <f t="shared" si="54"/>
        <v>0</v>
      </c>
      <c r="M258" s="159">
        <f t="shared" si="54"/>
        <v>0</v>
      </c>
      <c r="N258" s="159">
        <f t="shared" si="54"/>
        <v>0</v>
      </c>
      <c r="O258" s="159">
        <f t="shared" si="54"/>
        <v>0</v>
      </c>
      <c r="P258" s="159">
        <f t="shared" si="54"/>
        <v>4.7</v>
      </c>
      <c r="Q258" s="159">
        <f t="shared" si="54"/>
        <v>1.75</v>
      </c>
      <c r="R258" s="159">
        <f t="shared" si="54"/>
        <v>6.0675000000000008</v>
      </c>
      <c r="S258" s="159">
        <f t="shared" si="54"/>
        <v>0</v>
      </c>
      <c r="T258" s="159">
        <f t="shared" si="54"/>
        <v>0</v>
      </c>
      <c r="U258" s="159">
        <f t="shared" si="54"/>
        <v>0</v>
      </c>
      <c r="V258" s="159">
        <f t="shared" si="54"/>
        <v>0</v>
      </c>
      <c r="W258" s="159">
        <f t="shared" si="54"/>
        <v>0</v>
      </c>
      <c r="X258" s="159">
        <f t="shared" si="54"/>
        <v>1.5750000000000002</v>
      </c>
      <c r="Y258" s="159">
        <f t="shared" si="54"/>
        <v>5.46075</v>
      </c>
      <c r="Z258" s="159">
        <f t="shared" si="54"/>
        <v>106.231905</v>
      </c>
      <c r="AA258" s="164"/>
      <c r="AB258" s="93">
        <f>E258*12*2.34</f>
        <v>1274.7828599999998</v>
      </c>
      <c r="AC258" s="93">
        <f>F258*10%*2.34*12</f>
        <v>67.307759999999988</v>
      </c>
    </row>
    <row r="259" spans="1:29" s="61" customFormat="1" x14ac:dyDescent="0.45">
      <c r="A259" s="71" t="s">
        <v>190</v>
      </c>
      <c r="B259" s="161" t="s">
        <v>847</v>
      </c>
      <c r="C259" s="86"/>
      <c r="D259" s="86"/>
      <c r="E259" s="97">
        <f t="shared" si="49"/>
        <v>8.5145</v>
      </c>
      <c r="F259" s="428">
        <f>3.99+0.33</f>
        <v>4.32</v>
      </c>
      <c r="G259" s="98">
        <f t="shared" si="50"/>
        <v>3.1550000000000002</v>
      </c>
      <c r="H259" s="98">
        <v>0.7</v>
      </c>
      <c r="I259" s="98">
        <v>0.3</v>
      </c>
      <c r="J259" s="98"/>
      <c r="K259" s="98"/>
      <c r="L259" s="98"/>
      <c r="M259" s="98"/>
      <c r="N259" s="98"/>
      <c r="O259" s="98"/>
      <c r="P259" s="115">
        <v>1</v>
      </c>
      <c r="Q259" s="115">
        <v>0.25</v>
      </c>
      <c r="R259" s="98">
        <f t="shared" si="51"/>
        <v>1.155</v>
      </c>
      <c r="S259" s="115"/>
      <c r="T259" s="115"/>
      <c r="U259" s="98"/>
      <c r="V259" s="98"/>
      <c r="W259" s="98"/>
      <c r="X259" s="115">
        <v>0.22500000000000001</v>
      </c>
      <c r="Y259" s="98">
        <f t="shared" si="52"/>
        <v>1.0395000000000001</v>
      </c>
      <c r="Z259" s="98">
        <f t="shared" si="53"/>
        <v>19.923929999999999</v>
      </c>
      <c r="AA259" s="165"/>
    </row>
    <row r="260" spans="1:29" s="61" customFormat="1" x14ac:dyDescent="0.45">
      <c r="A260" s="71" t="s">
        <v>191</v>
      </c>
      <c r="B260" s="163" t="s">
        <v>848</v>
      </c>
      <c r="C260" s="86"/>
      <c r="D260" s="86"/>
      <c r="E260" s="97">
        <f t="shared" si="49"/>
        <v>6.1117499999999998</v>
      </c>
      <c r="F260" s="428">
        <v>3.33</v>
      </c>
      <c r="G260" s="98">
        <f t="shared" si="50"/>
        <v>2.0324999999999998</v>
      </c>
      <c r="H260" s="98">
        <v>0.7</v>
      </c>
      <c r="I260" s="98"/>
      <c r="J260" s="98"/>
      <c r="K260" s="98"/>
      <c r="L260" s="98"/>
      <c r="M260" s="98"/>
      <c r="N260" s="98"/>
      <c r="O260" s="98"/>
      <c r="P260" s="115">
        <v>0.5</v>
      </c>
      <c r="Q260" s="115">
        <v>0.25</v>
      </c>
      <c r="R260" s="98">
        <f t="shared" si="51"/>
        <v>0.83250000000000002</v>
      </c>
      <c r="S260" s="115"/>
      <c r="T260" s="115"/>
      <c r="U260" s="98"/>
      <c r="V260" s="98"/>
      <c r="W260" s="98"/>
      <c r="X260" s="115">
        <v>0.22500000000000001</v>
      </c>
      <c r="Y260" s="98">
        <f t="shared" si="52"/>
        <v>0.74925000000000008</v>
      </c>
      <c r="Z260" s="98">
        <f t="shared" si="53"/>
        <v>14.301494999999999</v>
      </c>
      <c r="AA260" s="165"/>
    </row>
    <row r="261" spans="1:29" s="61" customFormat="1" x14ac:dyDescent="0.45">
      <c r="A261" s="71" t="s">
        <v>309</v>
      </c>
      <c r="B261" s="18" t="s">
        <v>849</v>
      </c>
      <c r="C261" s="86"/>
      <c r="D261" s="86"/>
      <c r="E261" s="97">
        <f t="shared" si="49"/>
        <v>6.7984999999999998</v>
      </c>
      <c r="F261" s="428">
        <v>3.66</v>
      </c>
      <c r="G261" s="98">
        <f t="shared" si="50"/>
        <v>2.3149999999999999</v>
      </c>
      <c r="H261" s="98">
        <v>0.7</v>
      </c>
      <c r="I261" s="98"/>
      <c r="J261" s="98"/>
      <c r="K261" s="98"/>
      <c r="L261" s="98"/>
      <c r="M261" s="98"/>
      <c r="N261" s="98"/>
      <c r="O261" s="98"/>
      <c r="P261" s="115">
        <v>0.7</v>
      </c>
      <c r="Q261" s="115">
        <v>0.25</v>
      </c>
      <c r="R261" s="98">
        <f t="shared" si="51"/>
        <v>0.91500000000000004</v>
      </c>
      <c r="S261" s="115"/>
      <c r="T261" s="115"/>
      <c r="U261" s="98"/>
      <c r="V261" s="98"/>
      <c r="W261" s="98"/>
      <c r="X261" s="115">
        <v>0.22500000000000001</v>
      </c>
      <c r="Y261" s="98">
        <f t="shared" si="52"/>
        <v>0.82350000000000001</v>
      </c>
      <c r="Z261" s="98">
        <f t="shared" si="53"/>
        <v>15.908489999999999</v>
      </c>
      <c r="AA261" s="165"/>
    </row>
    <row r="262" spans="1:29" s="61" customFormat="1" x14ac:dyDescent="0.45">
      <c r="A262" s="71" t="s">
        <v>310</v>
      </c>
      <c r="B262" s="18" t="s">
        <v>850</v>
      </c>
      <c r="C262" s="86"/>
      <c r="D262" s="86"/>
      <c r="E262" s="97">
        <f t="shared" si="49"/>
        <v>5.625</v>
      </c>
      <c r="F262" s="428">
        <v>3</v>
      </c>
      <c r="G262" s="98">
        <f t="shared" si="50"/>
        <v>1.95</v>
      </c>
      <c r="H262" s="98">
        <v>0.7</v>
      </c>
      <c r="I262" s="98"/>
      <c r="J262" s="98"/>
      <c r="K262" s="98"/>
      <c r="L262" s="98"/>
      <c r="M262" s="98"/>
      <c r="N262" s="98"/>
      <c r="O262" s="98"/>
      <c r="P262" s="115">
        <v>0.5</v>
      </c>
      <c r="Q262" s="115">
        <v>0.25</v>
      </c>
      <c r="R262" s="98">
        <f t="shared" si="51"/>
        <v>0.75</v>
      </c>
      <c r="S262" s="115"/>
      <c r="T262" s="115"/>
      <c r="U262" s="98"/>
      <c r="V262" s="98"/>
      <c r="W262" s="98"/>
      <c r="X262" s="115">
        <v>0.22500000000000001</v>
      </c>
      <c r="Y262" s="98">
        <f t="shared" si="52"/>
        <v>0.67500000000000004</v>
      </c>
      <c r="Z262" s="98">
        <f t="shared" si="53"/>
        <v>13.1625</v>
      </c>
      <c r="AA262" s="165"/>
    </row>
    <row r="263" spans="1:29" s="61" customFormat="1" x14ac:dyDescent="0.45">
      <c r="A263" s="71" t="s">
        <v>311</v>
      </c>
      <c r="B263" s="161" t="s">
        <v>851</v>
      </c>
      <c r="C263" s="86"/>
      <c r="D263" s="86"/>
      <c r="E263" s="97">
        <f t="shared" si="49"/>
        <v>7.0985000000000005</v>
      </c>
      <c r="F263" s="428">
        <v>3.66</v>
      </c>
      <c r="G263" s="98">
        <f t="shared" si="50"/>
        <v>2.6150000000000002</v>
      </c>
      <c r="H263" s="98">
        <v>0.7</v>
      </c>
      <c r="I263" s="98"/>
      <c r="J263" s="98"/>
      <c r="K263" s="98"/>
      <c r="L263" s="98"/>
      <c r="M263" s="98"/>
      <c r="N263" s="98"/>
      <c r="O263" s="98"/>
      <c r="P263" s="115">
        <v>1</v>
      </c>
      <c r="Q263" s="115">
        <v>0.25</v>
      </c>
      <c r="R263" s="98">
        <f t="shared" si="51"/>
        <v>0.91500000000000004</v>
      </c>
      <c r="S263" s="115"/>
      <c r="T263" s="115"/>
      <c r="U263" s="98"/>
      <c r="V263" s="98"/>
      <c r="W263" s="98"/>
      <c r="X263" s="115">
        <v>0.22500000000000001</v>
      </c>
      <c r="Y263" s="98">
        <f t="shared" si="52"/>
        <v>0.82350000000000001</v>
      </c>
      <c r="Z263" s="98">
        <f t="shared" si="53"/>
        <v>16.610489999999999</v>
      </c>
      <c r="AA263" s="165"/>
    </row>
    <row r="264" spans="1:29" s="61" customFormat="1" x14ac:dyDescent="0.45">
      <c r="A264" s="71" t="s">
        <v>312</v>
      </c>
      <c r="B264" s="163" t="s">
        <v>852</v>
      </c>
      <c r="C264" s="86"/>
      <c r="D264" s="86"/>
      <c r="E264" s="97">
        <f t="shared" si="49"/>
        <v>6.1117499999999998</v>
      </c>
      <c r="F264" s="428">
        <v>3.33</v>
      </c>
      <c r="G264" s="98">
        <f t="shared" si="50"/>
        <v>2.0324999999999998</v>
      </c>
      <c r="H264" s="98">
        <v>0.7</v>
      </c>
      <c r="I264" s="98"/>
      <c r="J264" s="98"/>
      <c r="K264" s="98"/>
      <c r="L264" s="98"/>
      <c r="M264" s="98"/>
      <c r="N264" s="98"/>
      <c r="O264" s="98"/>
      <c r="P264" s="115">
        <v>0.5</v>
      </c>
      <c r="Q264" s="115">
        <v>0.25</v>
      </c>
      <c r="R264" s="98">
        <f t="shared" si="51"/>
        <v>0.83250000000000002</v>
      </c>
      <c r="S264" s="115"/>
      <c r="T264" s="115"/>
      <c r="U264" s="98"/>
      <c r="V264" s="98"/>
      <c r="W264" s="98"/>
      <c r="X264" s="115">
        <v>0.22500000000000001</v>
      </c>
      <c r="Y264" s="98">
        <f t="shared" si="52"/>
        <v>0.74925000000000008</v>
      </c>
      <c r="Z264" s="98">
        <f t="shared" si="53"/>
        <v>14.301494999999999</v>
      </c>
      <c r="AA264" s="165"/>
    </row>
    <row r="265" spans="1:29" s="61" customFormat="1" x14ac:dyDescent="0.45">
      <c r="A265" s="71" t="s">
        <v>313</v>
      </c>
      <c r="B265" s="163" t="s">
        <v>853</v>
      </c>
      <c r="C265" s="86"/>
      <c r="D265" s="86"/>
      <c r="E265" s="97">
        <f t="shared" si="49"/>
        <v>5.1382499999999993</v>
      </c>
      <c r="F265" s="428">
        <v>2.67</v>
      </c>
      <c r="G265" s="98">
        <f t="shared" si="50"/>
        <v>1.8674999999999999</v>
      </c>
      <c r="H265" s="98">
        <v>0.7</v>
      </c>
      <c r="I265" s="98"/>
      <c r="J265" s="98"/>
      <c r="K265" s="98"/>
      <c r="L265" s="98"/>
      <c r="M265" s="98"/>
      <c r="N265" s="98"/>
      <c r="O265" s="98"/>
      <c r="P265" s="115">
        <v>0.5</v>
      </c>
      <c r="Q265" s="115">
        <v>0.25</v>
      </c>
      <c r="R265" s="98">
        <f t="shared" si="51"/>
        <v>0.66749999999999998</v>
      </c>
      <c r="S265" s="115"/>
      <c r="T265" s="115"/>
      <c r="U265" s="98"/>
      <c r="V265" s="98"/>
      <c r="W265" s="98"/>
      <c r="X265" s="115">
        <v>0.22500000000000001</v>
      </c>
      <c r="Y265" s="98">
        <f t="shared" si="52"/>
        <v>0.60075000000000001</v>
      </c>
      <c r="Z265" s="98">
        <f t="shared" si="53"/>
        <v>12.023504999999998</v>
      </c>
      <c r="AA265" s="165"/>
    </row>
    <row r="266" spans="1:29" s="160" customFormat="1" ht="12.75" x14ac:dyDescent="0.45">
      <c r="A266" s="77"/>
      <c r="B266" s="9" t="s">
        <v>218</v>
      </c>
      <c r="C266" s="416">
        <v>8</v>
      </c>
      <c r="D266" s="416">
        <v>6</v>
      </c>
      <c r="E266" s="159">
        <f>SUM(E267:E274)</f>
        <v>49.580749999999995</v>
      </c>
      <c r="F266" s="159">
        <f t="shared" ref="F266:Z266" si="55">SUM(F267:F274)</f>
        <v>22.75</v>
      </c>
      <c r="G266" s="159">
        <f t="shared" si="55"/>
        <v>21.644500000000001</v>
      </c>
      <c r="H266" s="159">
        <f t="shared" si="55"/>
        <v>5.6000000000000005</v>
      </c>
      <c r="I266" s="159">
        <f t="shared" si="55"/>
        <v>0.3</v>
      </c>
      <c r="J266" s="159">
        <f t="shared" si="55"/>
        <v>0</v>
      </c>
      <c r="K266" s="159">
        <f t="shared" si="55"/>
        <v>0</v>
      </c>
      <c r="L266" s="159">
        <f t="shared" si="55"/>
        <v>0</v>
      </c>
      <c r="M266" s="159">
        <f t="shared" si="55"/>
        <v>0</v>
      </c>
      <c r="N266" s="159">
        <f t="shared" si="55"/>
        <v>3.5</v>
      </c>
      <c r="O266" s="159">
        <f t="shared" si="55"/>
        <v>8.6519999999999992</v>
      </c>
      <c r="P266" s="159">
        <f t="shared" si="55"/>
        <v>2.5</v>
      </c>
      <c r="Q266" s="159">
        <f t="shared" si="55"/>
        <v>1.5</v>
      </c>
      <c r="R266" s="159">
        <f t="shared" si="55"/>
        <v>4.5925000000000002</v>
      </c>
      <c r="S266" s="159">
        <f t="shared" si="55"/>
        <v>0</v>
      </c>
      <c r="T266" s="159">
        <f t="shared" si="55"/>
        <v>0</v>
      </c>
      <c r="U266" s="159">
        <f t="shared" si="55"/>
        <v>0</v>
      </c>
      <c r="V266" s="159">
        <f t="shared" si="55"/>
        <v>0</v>
      </c>
      <c r="W266" s="159">
        <f t="shared" si="55"/>
        <v>0</v>
      </c>
      <c r="X266" s="159">
        <f t="shared" si="55"/>
        <v>1.8000000000000003</v>
      </c>
      <c r="Y266" s="159">
        <f t="shared" si="55"/>
        <v>5.1862500000000011</v>
      </c>
      <c r="Z266" s="159">
        <f t="shared" si="55"/>
        <v>116.01895499999998</v>
      </c>
      <c r="AA266" s="419"/>
      <c r="AB266" s="93">
        <f>E266*12*2.34</f>
        <v>1392.2274599999998</v>
      </c>
      <c r="AC266" s="93">
        <f>F266*10%*2.34*12</f>
        <v>63.881999999999991</v>
      </c>
    </row>
    <row r="267" spans="1:29" s="61" customFormat="1" x14ac:dyDescent="0.45">
      <c r="A267" s="71" t="s">
        <v>593</v>
      </c>
      <c r="B267" s="163" t="s">
        <v>854</v>
      </c>
      <c r="C267" s="86"/>
      <c r="D267" s="86"/>
      <c r="E267" s="97">
        <f t="shared" si="49"/>
        <v>9.0012500000000006</v>
      </c>
      <c r="F267" s="428">
        <f>4.65</f>
        <v>4.6500000000000004</v>
      </c>
      <c r="G267" s="98">
        <f t="shared" si="50"/>
        <v>3.2374999999999998</v>
      </c>
      <c r="H267" s="98">
        <v>0.7</v>
      </c>
      <c r="I267" s="115">
        <f>0.3</f>
        <v>0.3</v>
      </c>
      <c r="J267" s="115"/>
      <c r="K267" s="115"/>
      <c r="L267" s="115"/>
      <c r="M267" s="115"/>
      <c r="N267" s="115"/>
      <c r="O267" s="115"/>
      <c r="P267" s="115">
        <f>1</f>
        <v>1</v>
      </c>
      <c r="Q267" s="115">
        <v>0.25</v>
      </c>
      <c r="R267" s="98">
        <f t="shared" si="51"/>
        <v>1.2375</v>
      </c>
      <c r="S267" s="115"/>
      <c r="T267" s="115"/>
      <c r="U267" s="115"/>
      <c r="V267" s="115"/>
      <c r="W267" s="115"/>
      <c r="X267" s="115">
        <v>0.22500000000000001</v>
      </c>
      <c r="Y267" s="98">
        <f t="shared" si="52"/>
        <v>1.11375</v>
      </c>
      <c r="Z267" s="98">
        <f t="shared" si="53"/>
        <v>21.062925</v>
      </c>
      <c r="AA267" s="111"/>
    </row>
    <row r="268" spans="1:29" s="61" customFormat="1" x14ac:dyDescent="0.45">
      <c r="A268" s="71" t="s">
        <v>595</v>
      </c>
      <c r="B268" s="161" t="s">
        <v>855</v>
      </c>
      <c r="C268" s="86"/>
      <c r="D268" s="86"/>
      <c r="E268" s="97">
        <f t="shared" si="49"/>
        <v>6.1117499999999998</v>
      </c>
      <c r="F268" s="428">
        <f>3.33</f>
        <v>3.33</v>
      </c>
      <c r="G268" s="98">
        <f t="shared" si="50"/>
        <v>2.0324999999999998</v>
      </c>
      <c r="H268" s="98">
        <v>0.7</v>
      </c>
      <c r="I268" s="115"/>
      <c r="J268" s="115"/>
      <c r="K268" s="115"/>
      <c r="L268" s="115"/>
      <c r="M268" s="115"/>
      <c r="N268" s="115"/>
      <c r="O268" s="115"/>
      <c r="P268" s="115">
        <f>0.5</f>
        <v>0.5</v>
      </c>
      <c r="Q268" s="115">
        <v>0.25</v>
      </c>
      <c r="R268" s="98">
        <f t="shared" si="51"/>
        <v>0.83250000000000002</v>
      </c>
      <c r="S268" s="115"/>
      <c r="T268" s="115"/>
      <c r="U268" s="115"/>
      <c r="V268" s="115"/>
      <c r="W268" s="115"/>
      <c r="X268" s="115">
        <v>0.22500000000000001</v>
      </c>
      <c r="Y268" s="98">
        <f t="shared" si="52"/>
        <v>0.74925000000000008</v>
      </c>
      <c r="Z268" s="98">
        <f t="shared" si="53"/>
        <v>14.301494999999999</v>
      </c>
      <c r="AA268" s="111"/>
    </row>
    <row r="269" spans="1:29" s="61" customFormat="1" x14ac:dyDescent="0.45">
      <c r="A269" s="71" t="s">
        <v>597</v>
      </c>
      <c r="B269" s="161" t="s">
        <v>856</v>
      </c>
      <c r="C269" s="86"/>
      <c r="D269" s="86"/>
      <c r="E269" s="97">
        <f t="shared" si="49"/>
        <v>4.7547500000000005</v>
      </c>
      <c r="F269" s="428">
        <f>2.41</f>
        <v>2.41</v>
      </c>
      <c r="G269" s="98">
        <f t="shared" si="50"/>
        <v>1.8025</v>
      </c>
      <c r="H269" s="98">
        <v>0.7</v>
      </c>
      <c r="I269" s="115"/>
      <c r="J269" s="115"/>
      <c r="K269" s="115"/>
      <c r="L269" s="115"/>
      <c r="M269" s="115"/>
      <c r="N269" s="115"/>
      <c r="O269" s="115"/>
      <c r="P269" s="115">
        <f>0.5</f>
        <v>0.5</v>
      </c>
      <c r="Q269" s="115">
        <v>0.25</v>
      </c>
      <c r="R269" s="98">
        <f t="shared" si="51"/>
        <v>0.60250000000000004</v>
      </c>
      <c r="S269" s="115"/>
      <c r="T269" s="115"/>
      <c r="U269" s="115"/>
      <c r="V269" s="115"/>
      <c r="W269" s="115"/>
      <c r="X269" s="115">
        <v>0.22500000000000001</v>
      </c>
      <c r="Y269" s="98">
        <f t="shared" si="52"/>
        <v>0.54225000000000001</v>
      </c>
      <c r="Z269" s="98">
        <f t="shared" si="53"/>
        <v>11.126115</v>
      </c>
      <c r="AA269" s="111"/>
    </row>
    <row r="270" spans="1:29" s="61" customFormat="1" x14ac:dyDescent="0.45">
      <c r="A270" s="71" t="s">
        <v>599</v>
      </c>
      <c r="B270" s="163" t="s">
        <v>857</v>
      </c>
      <c r="C270" s="86"/>
      <c r="D270" s="86"/>
      <c r="E270" s="97">
        <f t="shared" si="49"/>
        <v>5.7895000000000003</v>
      </c>
      <c r="F270" s="428">
        <f>2.34</f>
        <v>2.34</v>
      </c>
      <c r="G270" s="98">
        <f t="shared" si="50"/>
        <v>2.923</v>
      </c>
      <c r="H270" s="98">
        <v>0.7</v>
      </c>
      <c r="I270" s="115"/>
      <c r="J270" s="115"/>
      <c r="K270" s="115"/>
      <c r="L270" s="115"/>
      <c r="M270" s="115"/>
      <c r="N270" s="98">
        <v>0.7</v>
      </c>
      <c r="O270" s="98">
        <f>N270*(F270+I270+K270)</f>
        <v>1.6379999999999999</v>
      </c>
      <c r="P270" s="115"/>
      <c r="Q270" s="115">
        <v>0.25</v>
      </c>
      <c r="R270" s="98">
        <f t="shared" si="51"/>
        <v>0.58499999999999996</v>
      </c>
      <c r="S270" s="115"/>
      <c r="T270" s="115"/>
      <c r="U270" s="115"/>
      <c r="V270" s="115"/>
      <c r="W270" s="115"/>
      <c r="X270" s="115">
        <v>0.22500000000000001</v>
      </c>
      <c r="Y270" s="98">
        <f t="shared" si="52"/>
        <v>0.52649999999999997</v>
      </c>
      <c r="Z270" s="98">
        <f t="shared" si="53"/>
        <v>13.54743</v>
      </c>
      <c r="AA270" s="111"/>
    </row>
    <row r="271" spans="1:29" s="61" customFormat="1" x14ac:dyDescent="0.45">
      <c r="A271" s="71" t="s">
        <v>601</v>
      </c>
      <c r="B271" s="163" t="s">
        <v>858</v>
      </c>
      <c r="C271" s="86"/>
      <c r="D271" s="86"/>
      <c r="E271" s="97">
        <f t="shared" si="49"/>
        <v>5.7895000000000003</v>
      </c>
      <c r="F271" s="428">
        <f>2.34</f>
        <v>2.34</v>
      </c>
      <c r="G271" s="98">
        <f t="shared" si="50"/>
        <v>2.923</v>
      </c>
      <c r="H271" s="98">
        <v>0.7</v>
      </c>
      <c r="I271" s="115"/>
      <c r="J271" s="115"/>
      <c r="K271" s="115"/>
      <c r="L271" s="115"/>
      <c r="M271" s="115"/>
      <c r="N271" s="98">
        <v>0.7</v>
      </c>
      <c r="O271" s="98">
        <f>N271*(F271+I271+K271)</f>
        <v>1.6379999999999999</v>
      </c>
      <c r="P271" s="115"/>
      <c r="Q271" s="115">
        <v>0.25</v>
      </c>
      <c r="R271" s="98">
        <f t="shared" si="51"/>
        <v>0.58499999999999996</v>
      </c>
      <c r="S271" s="115"/>
      <c r="T271" s="115"/>
      <c r="U271" s="115"/>
      <c r="V271" s="115"/>
      <c r="W271" s="115"/>
      <c r="X271" s="115">
        <v>0.22500000000000001</v>
      </c>
      <c r="Y271" s="98">
        <f t="shared" si="52"/>
        <v>0.52649999999999997</v>
      </c>
      <c r="Z271" s="98">
        <f t="shared" si="53"/>
        <v>13.54743</v>
      </c>
      <c r="AA271" s="111"/>
    </row>
    <row r="272" spans="1:29" s="61" customFormat="1" x14ac:dyDescent="0.45">
      <c r="A272" s="71" t="s">
        <v>603</v>
      </c>
      <c r="B272" s="161" t="s">
        <v>859</v>
      </c>
      <c r="C272" s="86"/>
      <c r="D272" s="86"/>
      <c r="E272" s="97">
        <f t="shared" si="49"/>
        <v>7.7249999999999996</v>
      </c>
      <c r="F272" s="428">
        <f>3</f>
        <v>3</v>
      </c>
      <c r="G272" s="98">
        <f t="shared" si="50"/>
        <v>4.05</v>
      </c>
      <c r="H272" s="98">
        <v>0.7</v>
      </c>
      <c r="I272" s="115"/>
      <c r="J272" s="115"/>
      <c r="K272" s="115"/>
      <c r="L272" s="115"/>
      <c r="M272" s="115"/>
      <c r="N272" s="98">
        <v>0.7</v>
      </c>
      <c r="O272" s="98">
        <f>N272*(F272+I272+K272)</f>
        <v>2.0999999999999996</v>
      </c>
      <c r="P272" s="115">
        <f>0.5</f>
        <v>0.5</v>
      </c>
      <c r="Q272" s="115">
        <v>0.25</v>
      </c>
      <c r="R272" s="98">
        <f t="shared" si="51"/>
        <v>0.75</v>
      </c>
      <c r="S272" s="115"/>
      <c r="T272" s="115"/>
      <c r="U272" s="115"/>
      <c r="V272" s="115"/>
      <c r="W272" s="115"/>
      <c r="X272" s="115">
        <v>0.22500000000000001</v>
      </c>
      <c r="Y272" s="98">
        <f t="shared" si="52"/>
        <v>0.67500000000000004</v>
      </c>
      <c r="Z272" s="98">
        <f t="shared" si="53"/>
        <v>18.076499999999999</v>
      </c>
      <c r="AA272" s="111"/>
    </row>
    <row r="273" spans="1:29" s="61" customFormat="1" x14ac:dyDescent="0.45">
      <c r="A273" s="71" t="s">
        <v>605</v>
      </c>
      <c r="B273" s="109" t="s">
        <v>860</v>
      </c>
      <c r="C273" s="86"/>
      <c r="D273" s="86"/>
      <c r="E273" s="97">
        <f t="shared" si="49"/>
        <v>5.2044999999999995</v>
      </c>
      <c r="F273" s="115">
        <f>2.34</f>
        <v>2.34</v>
      </c>
      <c r="G273" s="98">
        <f t="shared" si="50"/>
        <v>2.3380000000000001</v>
      </c>
      <c r="H273" s="98">
        <v>0.7</v>
      </c>
      <c r="I273" s="115"/>
      <c r="J273" s="115"/>
      <c r="K273" s="115"/>
      <c r="L273" s="115"/>
      <c r="M273" s="115"/>
      <c r="N273" s="98">
        <v>0.7</v>
      </c>
      <c r="O273" s="98">
        <f>N273*(F273+I273+K273)</f>
        <v>1.6379999999999999</v>
      </c>
      <c r="P273" s="115"/>
      <c r="Q273" s="115"/>
      <c r="R273" s="115"/>
      <c r="S273" s="115"/>
      <c r="T273" s="115"/>
      <c r="U273" s="115"/>
      <c r="V273" s="115"/>
      <c r="W273" s="115"/>
      <c r="X273" s="115">
        <v>0.22500000000000001</v>
      </c>
      <c r="Y273" s="98">
        <f t="shared" si="52"/>
        <v>0.52649999999999997</v>
      </c>
      <c r="Z273" s="98">
        <f t="shared" si="53"/>
        <v>12.178529999999999</v>
      </c>
      <c r="AA273" s="111"/>
    </row>
    <row r="274" spans="1:29" s="61" customFormat="1" x14ac:dyDescent="0.45">
      <c r="A274" s="71" t="s">
        <v>607</v>
      </c>
      <c r="B274" s="109" t="s">
        <v>860</v>
      </c>
      <c r="C274" s="86"/>
      <c r="D274" s="86"/>
      <c r="E274" s="97">
        <f t="shared" si="49"/>
        <v>5.2044999999999995</v>
      </c>
      <c r="F274" s="115">
        <f>2.34</f>
        <v>2.34</v>
      </c>
      <c r="G274" s="98">
        <f t="shared" si="50"/>
        <v>2.3380000000000001</v>
      </c>
      <c r="H274" s="98">
        <v>0.7</v>
      </c>
      <c r="I274" s="115"/>
      <c r="J274" s="115"/>
      <c r="K274" s="115"/>
      <c r="L274" s="115"/>
      <c r="M274" s="115"/>
      <c r="N274" s="98">
        <v>0.7</v>
      </c>
      <c r="O274" s="98">
        <f>N274*(F274+I274+K274)</f>
        <v>1.6379999999999999</v>
      </c>
      <c r="P274" s="115"/>
      <c r="Q274" s="115"/>
      <c r="R274" s="115"/>
      <c r="S274" s="115"/>
      <c r="T274" s="115"/>
      <c r="U274" s="115"/>
      <c r="V274" s="115"/>
      <c r="W274" s="115"/>
      <c r="X274" s="115">
        <v>0.22500000000000001</v>
      </c>
      <c r="Y274" s="98">
        <f t="shared" si="52"/>
        <v>0.52649999999999997</v>
      </c>
      <c r="Z274" s="98">
        <f t="shared" si="53"/>
        <v>12.178529999999999</v>
      </c>
      <c r="AA274" s="111"/>
    </row>
    <row r="275" spans="1:29" s="160" customFormat="1" ht="25.5" x14ac:dyDescent="0.45">
      <c r="A275" s="77"/>
      <c r="B275" s="9" t="s">
        <v>861</v>
      </c>
      <c r="C275" s="416">
        <v>6</v>
      </c>
      <c r="D275" s="416">
        <v>6</v>
      </c>
      <c r="E275" s="159">
        <f>SUM(E276:E281)</f>
        <v>36.234499999999997</v>
      </c>
      <c r="F275" s="159">
        <f t="shared" ref="F275:Z275" si="56">SUM(F276:F281)</f>
        <v>16.34</v>
      </c>
      <c r="G275" s="159">
        <f t="shared" si="56"/>
        <v>16.173000000000002</v>
      </c>
      <c r="H275" s="159">
        <f t="shared" si="56"/>
        <v>4.2</v>
      </c>
      <c r="I275" s="159">
        <f t="shared" si="56"/>
        <v>0.2</v>
      </c>
      <c r="J275" s="159">
        <f t="shared" si="56"/>
        <v>0</v>
      </c>
      <c r="K275" s="159">
        <f t="shared" si="56"/>
        <v>0</v>
      </c>
      <c r="L275" s="159">
        <f t="shared" si="56"/>
        <v>0</v>
      </c>
      <c r="M275" s="159">
        <f t="shared" si="56"/>
        <v>0</v>
      </c>
      <c r="N275" s="159">
        <f t="shared" si="56"/>
        <v>2.0999999999999996</v>
      </c>
      <c r="O275" s="159">
        <f t="shared" si="56"/>
        <v>5.1379999999999999</v>
      </c>
      <c r="P275" s="159">
        <f t="shared" si="56"/>
        <v>2.4</v>
      </c>
      <c r="Q275" s="159">
        <f t="shared" si="56"/>
        <v>1.5</v>
      </c>
      <c r="R275" s="159">
        <f t="shared" si="56"/>
        <v>4.1349999999999998</v>
      </c>
      <c r="S275" s="159">
        <f t="shared" si="56"/>
        <v>0</v>
      </c>
      <c r="T275" s="159">
        <f t="shared" si="56"/>
        <v>0</v>
      </c>
      <c r="U275" s="159">
        <f t="shared" si="56"/>
        <v>0</v>
      </c>
      <c r="V275" s="159">
        <f t="shared" si="56"/>
        <v>0</v>
      </c>
      <c r="W275" s="159">
        <f t="shared" si="56"/>
        <v>0.1</v>
      </c>
      <c r="X275" s="159">
        <f t="shared" si="56"/>
        <v>1.35</v>
      </c>
      <c r="Y275" s="159">
        <f t="shared" si="56"/>
        <v>3.7215000000000003</v>
      </c>
      <c r="Z275" s="159">
        <f t="shared" si="56"/>
        <v>84.788730000000001</v>
      </c>
      <c r="AA275" s="419"/>
      <c r="AB275" s="93">
        <f>E275*12*2.34</f>
        <v>1017.4647599999998</v>
      </c>
      <c r="AC275" s="93">
        <f>F275*10%*2.34*12</f>
        <v>45.882719999999999</v>
      </c>
    </row>
    <row r="276" spans="1:29" s="61" customFormat="1" x14ac:dyDescent="0.45">
      <c r="A276" s="71" t="s">
        <v>681</v>
      </c>
      <c r="B276" s="18" t="s">
        <v>862</v>
      </c>
      <c r="C276" s="86"/>
      <c r="D276" s="86"/>
      <c r="E276" s="97">
        <f t="shared" si="49"/>
        <v>6.6067499999999999</v>
      </c>
      <c r="F276" s="115">
        <f>3.33</f>
        <v>3.33</v>
      </c>
      <c r="G276" s="98">
        <f t="shared" ref="G276:G281" si="57">H276+I276+K276+M276+O276+P276+R276+T276+V276+W276</f>
        <v>2.4824999999999999</v>
      </c>
      <c r="H276" s="98">
        <v>0.7</v>
      </c>
      <c r="I276" s="115">
        <v>0.2</v>
      </c>
      <c r="J276" s="115"/>
      <c r="K276" s="115"/>
      <c r="L276" s="115"/>
      <c r="M276" s="115"/>
      <c r="N276" s="115"/>
      <c r="O276" s="115"/>
      <c r="P276" s="115">
        <f>0.7</f>
        <v>0.7</v>
      </c>
      <c r="Q276" s="115">
        <v>0.25</v>
      </c>
      <c r="R276" s="98">
        <f t="shared" ref="R276:R281" si="58">Q276*(F276+I276+K276)</f>
        <v>0.88250000000000006</v>
      </c>
      <c r="S276" s="115"/>
      <c r="T276" s="115"/>
      <c r="U276" s="115"/>
      <c r="V276" s="115"/>
      <c r="W276" s="115"/>
      <c r="X276" s="115">
        <v>0.22500000000000001</v>
      </c>
      <c r="Y276" s="98">
        <f t="shared" ref="Y276:Y281" si="59">X276*(F276+I276+K276+V276)</f>
        <v>0.79425000000000012</v>
      </c>
      <c r="Z276" s="98">
        <f t="shared" ref="Z276:Z281" si="60">E276*2.34</f>
        <v>15.459794999999998</v>
      </c>
      <c r="AA276" s="96"/>
    </row>
    <row r="277" spans="1:29" s="61" customFormat="1" x14ac:dyDescent="0.45">
      <c r="A277" s="71" t="s">
        <v>683</v>
      </c>
      <c r="B277" s="18" t="s">
        <v>863</v>
      </c>
      <c r="C277" s="86"/>
      <c r="D277" s="86"/>
      <c r="E277" s="97">
        <f t="shared" si="49"/>
        <v>5.8250000000000002</v>
      </c>
      <c r="F277" s="115">
        <f>3</f>
        <v>3</v>
      </c>
      <c r="G277" s="98">
        <f t="shared" si="57"/>
        <v>2.15</v>
      </c>
      <c r="H277" s="98">
        <v>0.7</v>
      </c>
      <c r="I277" s="98"/>
      <c r="J277" s="98"/>
      <c r="K277" s="98"/>
      <c r="L277" s="98"/>
      <c r="M277" s="98"/>
      <c r="N277" s="98"/>
      <c r="O277" s="98"/>
      <c r="P277" s="115">
        <f>0.7</f>
        <v>0.7</v>
      </c>
      <c r="Q277" s="115">
        <v>0.25</v>
      </c>
      <c r="R277" s="98">
        <f t="shared" si="58"/>
        <v>0.75</v>
      </c>
      <c r="S277" s="98"/>
      <c r="T277" s="98"/>
      <c r="U277" s="98"/>
      <c r="V277" s="98"/>
      <c r="W277" s="98"/>
      <c r="X277" s="115">
        <v>0.22500000000000001</v>
      </c>
      <c r="Y277" s="98">
        <f t="shared" si="59"/>
        <v>0.67500000000000004</v>
      </c>
      <c r="Z277" s="98">
        <f t="shared" si="60"/>
        <v>13.6305</v>
      </c>
      <c r="AA277" s="96"/>
    </row>
    <row r="278" spans="1:29" s="61" customFormat="1" x14ac:dyDescent="0.45">
      <c r="A278" s="71" t="s">
        <v>685</v>
      </c>
      <c r="B278" s="18" t="s">
        <v>864</v>
      </c>
      <c r="C278" s="86"/>
      <c r="D278" s="86"/>
      <c r="E278" s="97">
        <f t="shared" si="49"/>
        <v>7.0854999999999997</v>
      </c>
      <c r="F278" s="115">
        <f>2.66</f>
        <v>2.66</v>
      </c>
      <c r="G278" s="98">
        <f t="shared" si="57"/>
        <v>3.827</v>
      </c>
      <c r="H278" s="98">
        <v>0.7</v>
      </c>
      <c r="I278" s="98"/>
      <c r="J278" s="98"/>
      <c r="K278" s="98"/>
      <c r="L278" s="98"/>
      <c r="M278" s="98"/>
      <c r="N278" s="98">
        <v>0.7</v>
      </c>
      <c r="O278" s="98">
        <f>N278*(F278+I278+K278)</f>
        <v>1.8619999999999999</v>
      </c>
      <c r="P278" s="115">
        <f>0.5</f>
        <v>0.5</v>
      </c>
      <c r="Q278" s="115">
        <v>0.25</v>
      </c>
      <c r="R278" s="98">
        <f t="shared" si="58"/>
        <v>0.66500000000000004</v>
      </c>
      <c r="S278" s="98"/>
      <c r="T278" s="98"/>
      <c r="U278" s="98"/>
      <c r="V278" s="98"/>
      <c r="W278" s="98">
        <v>0.1</v>
      </c>
      <c r="X278" s="115">
        <v>0.22500000000000001</v>
      </c>
      <c r="Y278" s="98">
        <f t="shared" si="59"/>
        <v>0.59850000000000003</v>
      </c>
      <c r="Z278" s="98">
        <f t="shared" si="60"/>
        <v>16.580069999999999</v>
      </c>
      <c r="AA278" s="96"/>
    </row>
    <row r="279" spans="1:29" s="61" customFormat="1" x14ac:dyDescent="0.45">
      <c r="A279" s="71" t="s">
        <v>687</v>
      </c>
      <c r="B279" s="18" t="s">
        <v>865</v>
      </c>
      <c r="C279" s="86"/>
      <c r="D279" s="86"/>
      <c r="E279" s="97">
        <f t="shared" si="49"/>
        <v>5.1382499999999993</v>
      </c>
      <c r="F279" s="115">
        <f>2.67</f>
        <v>2.67</v>
      </c>
      <c r="G279" s="98">
        <f t="shared" si="57"/>
        <v>1.8674999999999999</v>
      </c>
      <c r="H279" s="98">
        <v>0.7</v>
      </c>
      <c r="I279" s="98"/>
      <c r="J279" s="98"/>
      <c r="K279" s="98"/>
      <c r="L279" s="98"/>
      <c r="M279" s="98"/>
      <c r="N279" s="98"/>
      <c r="O279" s="98"/>
      <c r="P279" s="115">
        <f>0.5</f>
        <v>0.5</v>
      </c>
      <c r="Q279" s="115">
        <v>0.25</v>
      </c>
      <c r="R279" s="98">
        <f t="shared" si="58"/>
        <v>0.66749999999999998</v>
      </c>
      <c r="S279" s="98"/>
      <c r="T279" s="98"/>
      <c r="U279" s="98"/>
      <c r="V279" s="98"/>
      <c r="W279" s="98"/>
      <c r="X279" s="115">
        <v>0.22500000000000001</v>
      </c>
      <c r="Y279" s="98">
        <f t="shared" si="59"/>
        <v>0.60075000000000001</v>
      </c>
      <c r="Z279" s="98">
        <f t="shared" si="60"/>
        <v>12.023504999999998</v>
      </c>
      <c r="AA279" s="96"/>
    </row>
    <row r="280" spans="1:29" s="61" customFormat="1" x14ac:dyDescent="0.45">
      <c r="A280" s="71" t="s">
        <v>689</v>
      </c>
      <c r="B280" s="18" t="s">
        <v>866</v>
      </c>
      <c r="C280" s="86"/>
      <c r="D280" s="86"/>
      <c r="E280" s="97">
        <f t="shared" si="49"/>
        <v>5.7895000000000003</v>
      </c>
      <c r="F280" s="115">
        <f>2.34</f>
        <v>2.34</v>
      </c>
      <c r="G280" s="98">
        <f t="shared" si="57"/>
        <v>2.923</v>
      </c>
      <c r="H280" s="98">
        <v>0.7</v>
      </c>
      <c r="I280" s="98"/>
      <c r="J280" s="98"/>
      <c r="K280" s="98"/>
      <c r="L280" s="98"/>
      <c r="M280" s="98"/>
      <c r="N280" s="98">
        <v>0.7</v>
      </c>
      <c r="O280" s="98">
        <f>N280*(F280+I280+K280)</f>
        <v>1.6379999999999999</v>
      </c>
      <c r="P280" s="98"/>
      <c r="Q280" s="115">
        <v>0.25</v>
      </c>
      <c r="R280" s="98">
        <f t="shared" si="58"/>
        <v>0.58499999999999996</v>
      </c>
      <c r="S280" s="115"/>
      <c r="T280" s="115"/>
      <c r="U280" s="98"/>
      <c r="V280" s="98"/>
      <c r="W280" s="98"/>
      <c r="X280" s="115">
        <v>0.22500000000000001</v>
      </c>
      <c r="Y280" s="98">
        <f t="shared" si="59"/>
        <v>0.52649999999999997</v>
      </c>
      <c r="Z280" s="98">
        <f t="shared" si="60"/>
        <v>13.54743</v>
      </c>
      <c r="AA280" s="96"/>
    </row>
    <row r="281" spans="1:29" s="61" customFormat="1" x14ac:dyDescent="0.45">
      <c r="A281" s="71" t="s">
        <v>691</v>
      </c>
      <c r="B281" s="18" t="s">
        <v>867</v>
      </c>
      <c r="C281" s="86"/>
      <c r="D281" s="86"/>
      <c r="E281" s="97">
        <f t="shared" si="49"/>
        <v>5.7895000000000003</v>
      </c>
      <c r="F281" s="115">
        <f>2.34</f>
        <v>2.34</v>
      </c>
      <c r="G281" s="98">
        <f t="shared" si="57"/>
        <v>2.923</v>
      </c>
      <c r="H281" s="98">
        <v>0.7</v>
      </c>
      <c r="I281" s="115"/>
      <c r="J281" s="115"/>
      <c r="K281" s="115"/>
      <c r="L281" s="115"/>
      <c r="M281" s="115"/>
      <c r="N281" s="98">
        <v>0.7</v>
      </c>
      <c r="O281" s="98">
        <f>N281*(F281+I281+K281)</f>
        <v>1.6379999999999999</v>
      </c>
      <c r="P281" s="115"/>
      <c r="Q281" s="115">
        <v>0.25</v>
      </c>
      <c r="R281" s="98">
        <f t="shared" si="58"/>
        <v>0.58499999999999996</v>
      </c>
      <c r="S281" s="115"/>
      <c r="T281" s="115"/>
      <c r="U281" s="115"/>
      <c r="V281" s="115"/>
      <c r="W281" s="115"/>
      <c r="X281" s="115">
        <v>0.22500000000000001</v>
      </c>
      <c r="Y281" s="98">
        <f t="shared" si="59"/>
        <v>0.52649999999999997</v>
      </c>
      <c r="Z281" s="98">
        <f t="shared" si="60"/>
        <v>13.54743</v>
      </c>
      <c r="AA281" s="96"/>
    </row>
    <row r="282" spans="1:29" s="61" customFormat="1" x14ac:dyDescent="0.45">
      <c r="A282" s="22"/>
      <c r="B282" s="19" t="s">
        <v>868</v>
      </c>
      <c r="C282" s="416">
        <f t="shared" ref="C282:Z282" si="61">C283+C308+C319</f>
        <v>35</v>
      </c>
      <c r="D282" s="416">
        <f t="shared" si="61"/>
        <v>31</v>
      </c>
      <c r="E282" s="53">
        <f t="shared" si="61"/>
        <v>247.37902500000004</v>
      </c>
      <c r="F282" s="53">
        <f t="shared" si="61"/>
        <v>121.30999999999997</v>
      </c>
      <c r="G282" s="53">
        <f t="shared" si="61"/>
        <v>97.83175</v>
      </c>
      <c r="H282" s="53">
        <f t="shared" si="61"/>
        <v>24.499999999999993</v>
      </c>
      <c r="I282" s="53">
        <f t="shared" si="61"/>
        <v>3.8499999999999996</v>
      </c>
      <c r="J282" s="53">
        <f t="shared" si="61"/>
        <v>0.05</v>
      </c>
      <c r="K282" s="53">
        <f t="shared" si="61"/>
        <v>0.33900000000000002</v>
      </c>
      <c r="L282" s="53">
        <f t="shared" si="61"/>
        <v>0.7</v>
      </c>
      <c r="M282" s="53">
        <f t="shared" si="61"/>
        <v>3.552</v>
      </c>
      <c r="N282" s="53">
        <f t="shared" si="61"/>
        <v>7</v>
      </c>
      <c r="O282" s="53">
        <f t="shared" si="61"/>
        <v>16.820999999999998</v>
      </c>
      <c r="P282" s="53">
        <f t="shared" si="61"/>
        <v>20.7</v>
      </c>
      <c r="Q282" s="53">
        <f t="shared" si="61"/>
        <v>7.5</v>
      </c>
      <c r="R282" s="53">
        <f t="shared" si="61"/>
        <v>28.069749999999999</v>
      </c>
      <c r="S282" s="53">
        <f t="shared" si="61"/>
        <v>0</v>
      </c>
      <c r="T282" s="53">
        <f t="shared" si="61"/>
        <v>0</v>
      </c>
      <c r="U282" s="53">
        <f t="shared" si="61"/>
        <v>0</v>
      </c>
      <c r="V282" s="53">
        <f t="shared" si="61"/>
        <v>0</v>
      </c>
      <c r="W282" s="53">
        <f t="shared" si="61"/>
        <v>0</v>
      </c>
      <c r="X282" s="53">
        <f t="shared" si="61"/>
        <v>7.8749999999999982</v>
      </c>
      <c r="Y282" s="53">
        <f t="shared" si="61"/>
        <v>28.237274999999993</v>
      </c>
      <c r="Z282" s="53">
        <f t="shared" si="61"/>
        <v>578.8669185</v>
      </c>
      <c r="AA282" s="96"/>
    </row>
    <row r="283" spans="1:29" s="160" customFormat="1" ht="12.75" x14ac:dyDescent="0.45">
      <c r="A283" s="416"/>
      <c r="B283" s="9" t="s">
        <v>869</v>
      </c>
      <c r="C283" s="416">
        <v>24</v>
      </c>
      <c r="D283" s="416">
        <v>21</v>
      </c>
      <c r="E283" s="159">
        <f>SUM(E284:E307)</f>
        <v>175.006775</v>
      </c>
      <c r="F283" s="159">
        <f t="shared" ref="F283:Z283" si="62">SUM(F284:F307)</f>
        <v>86.329999999999984</v>
      </c>
      <c r="G283" s="159">
        <f t="shared" si="62"/>
        <v>68.591250000000002</v>
      </c>
      <c r="H283" s="159">
        <f t="shared" si="62"/>
        <v>16.799999999999994</v>
      </c>
      <c r="I283" s="159">
        <f t="shared" si="62"/>
        <v>2.5999999999999996</v>
      </c>
      <c r="J283" s="159">
        <f t="shared" si="62"/>
        <v>0.05</v>
      </c>
      <c r="K283" s="159">
        <f t="shared" si="62"/>
        <v>0.33900000000000002</v>
      </c>
      <c r="L283" s="159">
        <f t="shared" si="62"/>
        <v>0</v>
      </c>
      <c r="M283" s="159">
        <f t="shared" si="62"/>
        <v>0.85000000000000009</v>
      </c>
      <c r="N283" s="159">
        <f t="shared" si="62"/>
        <v>5.6000000000000005</v>
      </c>
      <c r="O283" s="159">
        <f t="shared" si="62"/>
        <v>13.44</v>
      </c>
      <c r="P283" s="159">
        <f t="shared" si="62"/>
        <v>14</v>
      </c>
      <c r="Q283" s="159">
        <f t="shared" si="62"/>
        <v>5.25</v>
      </c>
      <c r="R283" s="159">
        <f t="shared" si="62"/>
        <v>20.562249999999999</v>
      </c>
      <c r="S283" s="159">
        <f t="shared" si="62"/>
        <v>0</v>
      </c>
      <c r="T283" s="159">
        <f t="shared" si="62"/>
        <v>0</v>
      </c>
      <c r="U283" s="159">
        <f t="shared" si="62"/>
        <v>0</v>
      </c>
      <c r="V283" s="159">
        <f t="shared" si="62"/>
        <v>0</v>
      </c>
      <c r="W283" s="159">
        <f t="shared" si="62"/>
        <v>0</v>
      </c>
      <c r="X283" s="159">
        <f t="shared" si="62"/>
        <v>5.3999999999999986</v>
      </c>
      <c r="Y283" s="159">
        <f t="shared" si="62"/>
        <v>20.085524999999993</v>
      </c>
      <c r="Z283" s="159">
        <f t="shared" si="62"/>
        <v>409.51585350000005</v>
      </c>
      <c r="AA283" s="419"/>
      <c r="AB283" s="93">
        <f>E283*12*2.34</f>
        <v>4914.1902419999997</v>
      </c>
      <c r="AC283" s="93">
        <f>F283*10%*2.34*12</f>
        <v>242.41463999999996</v>
      </c>
    </row>
    <row r="284" spans="1:29" s="61" customFormat="1" x14ac:dyDescent="0.45">
      <c r="A284" s="86" t="s">
        <v>188</v>
      </c>
      <c r="B284" s="18" t="s">
        <v>870</v>
      </c>
      <c r="C284" s="86"/>
      <c r="D284" s="86"/>
      <c r="E284" s="97">
        <f t="shared" ref="E284:E307" si="63">F284+G284+Y284</f>
        <v>12.733025</v>
      </c>
      <c r="F284" s="115">
        <v>6.78</v>
      </c>
      <c r="G284" s="98">
        <f>H284+I284+K284+M284+O284+P284+R284+T284+V284+W284</f>
        <v>4.1937499999999996</v>
      </c>
      <c r="H284" s="98">
        <v>0.7</v>
      </c>
      <c r="I284" s="115">
        <v>0.7</v>
      </c>
      <c r="J284" s="115">
        <v>0.05</v>
      </c>
      <c r="K284" s="115">
        <f>J284*F284</f>
        <v>0.33900000000000002</v>
      </c>
      <c r="L284" s="115"/>
      <c r="M284" s="115"/>
      <c r="N284" s="98"/>
      <c r="O284" s="98">
        <f>N284*(F284+I284+K284)</f>
        <v>0</v>
      </c>
      <c r="P284" s="115">
        <v>0.5</v>
      </c>
      <c r="Q284" s="115">
        <v>0.25</v>
      </c>
      <c r="R284" s="98">
        <f>Q284*(F284+I284+K284)</f>
        <v>1.9547500000000002</v>
      </c>
      <c r="S284" s="115"/>
      <c r="T284" s="115">
        <f>S284*(F284+I284+K284)</f>
        <v>0</v>
      </c>
      <c r="U284" s="115"/>
      <c r="V284" s="115"/>
      <c r="W284" s="115"/>
      <c r="X284" s="115">
        <v>0.22500000000000001</v>
      </c>
      <c r="Y284" s="98">
        <f>X284*(F284+I284+K284+V284)</f>
        <v>1.7592750000000001</v>
      </c>
      <c r="Z284" s="98">
        <f>E284*2.34</f>
        <v>29.795278499999998</v>
      </c>
      <c r="AA284" s="96"/>
    </row>
    <row r="285" spans="1:29" s="61" customFormat="1" x14ac:dyDescent="0.45">
      <c r="A285" s="86" t="s">
        <v>439</v>
      </c>
      <c r="B285" s="18" t="s">
        <v>871</v>
      </c>
      <c r="C285" s="86"/>
      <c r="D285" s="86"/>
      <c r="E285" s="97">
        <f t="shared" si="63"/>
        <v>9.7780000000000005</v>
      </c>
      <c r="F285" s="115">
        <v>5.08</v>
      </c>
      <c r="G285" s="98">
        <f t="shared" ref="G285:G307" si="64">H285+I285+K285+M285+O285+P285+R285+T285+V285+W285</f>
        <v>3.42</v>
      </c>
      <c r="H285" s="98">
        <v>0.7</v>
      </c>
      <c r="I285" s="115">
        <v>0.6</v>
      </c>
      <c r="J285" s="115"/>
      <c r="K285" s="115"/>
      <c r="L285" s="115"/>
      <c r="M285" s="115"/>
      <c r="N285" s="98"/>
      <c r="O285" s="98">
        <f t="shared" ref="O285:O307" si="65">N285*(F285+I285+K285)</f>
        <v>0</v>
      </c>
      <c r="P285" s="115">
        <v>0.7</v>
      </c>
      <c r="Q285" s="115">
        <v>0.25</v>
      </c>
      <c r="R285" s="98">
        <f t="shared" ref="R285:R307" si="66">Q285*(F285+I285+K285)</f>
        <v>1.42</v>
      </c>
      <c r="S285" s="115"/>
      <c r="T285" s="115">
        <f t="shared" ref="T285:T307" si="67">S285*(F285+I285+K285)</f>
        <v>0</v>
      </c>
      <c r="U285" s="115"/>
      <c r="V285" s="115"/>
      <c r="W285" s="115"/>
      <c r="X285" s="115">
        <v>0.22500000000000001</v>
      </c>
      <c r="Y285" s="98">
        <f t="shared" ref="Y285:Y307" si="68">X285*(F285+I285+K285+V285)</f>
        <v>1.278</v>
      </c>
      <c r="Z285" s="98">
        <f t="shared" ref="Z285:Z307" si="69">E285*2.34</f>
        <v>22.880520000000001</v>
      </c>
      <c r="AA285" s="96"/>
    </row>
    <row r="286" spans="1:29" s="61" customFormat="1" x14ac:dyDescent="0.45">
      <c r="A286" s="86" t="s">
        <v>441</v>
      </c>
      <c r="B286" s="18" t="s">
        <v>872</v>
      </c>
      <c r="C286" s="86"/>
      <c r="D286" s="86"/>
      <c r="E286" s="97">
        <f t="shared" si="63"/>
        <v>7.2435</v>
      </c>
      <c r="F286" s="115">
        <v>3.66</v>
      </c>
      <c r="G286" s="98">
        <f t="shared" si="64"/>
        <v>2.7149999999999999</v>
      </c>
      <c r="H286" s="98">
        <v>0.7</v>
      </c>
      <c r="I286" s="115">
        <v>0.2</v>
      </c>
      <c r="J286" s="115"/>
      <c r="K286" s="115"/>
      <c r="L286" s="115"/>
      <c r="M286" s="115">
        <v>0.15</v>
      </c>
      <c r="N286" s="98"/>
      <c r="O286" s="98">
        <f t="shared" si="65"/>
        <v>0</v>
      </c>
      <c r="P286" s="115">
        <v>0.7</v>
      </c>
      <c r="Q286" s="115">
        <v>0.25</v>
      </c>
      <c r="R286" s="98">
        <f>Q286*(F286+I286+K286)</f>
        <v>0.96500000000000008</v>
      </c>
      <c r="S286" s="115"/>
      <c r="T286" s="115">
        <f t="shared" si="67"/>
        <v>0</v>
      </c>
      <c r="U286" s="115"/>
      <c r="V286" s="115"/>
      <c r="W286" s="115"/>
      <c r="X286" s="115">
        <v>0.22500000000000001</v>
      </c>
      <c r="Y286" s="98">
        <f t="shared" si="68"/>
        <v>0.86850000000000005</v>
      </c>
      <c r="Z286" s="98">
        <f t="shared" si="69"/>
        <v>16.94979</v>
      </c>
      <c r="AA286" s="96"/>
    </row>
    <row r="287" spans="1:29" s="61" customFormat="1" x14ac:dyDescent="0.45">
      <c r="A287" s="86" t="s">
        <v>443</v>
      </c>
      <c r="B287" s="18" t="s">
        <v>873</v>
      </c>
      <c r="C287" s="86"/>
      <c r="D287" s="86"/>
      <c r="E287" s="97">
        <f t="shared" si="63"/>
        <v>5.9749999999999996</v>
      </c>
      <c r="F287" s="115">
        <v>3</v>
      </c>
      <c r="G287" s="98">
        <f t="shared" si="64"/>
        <v>2.2999999999999998</v>
      </c>
      <c r="H287" s="98">
        <v>0.7</v>
      </c>
      <c r="I287" s="115"/>
      <c r="J287" s="115"/>
      <c r="K287" s="115"/>
      <c r="L287" s="115"/>
      <c r="M287" s="115">
        <v>0.15</v>
      </c>
      <c r="N287" s="98"/>
      <c r="O287" s="98">
        <f t="shared" si="65"/>
        <v>0</v>
      </c>
      <c r="P287" s="115">
        <v>0.7</v>
      </c>
      <c r="Q287" s="115">
        <v>0.25</v>
      </c>
      <c r="R287" s="98">
        <f t="shared" si="66"/>
        <v>0.75</v>
      </c>
      <c r="S287" s="115"/>
      <c r="T287" s="115">
        <f t="shared" si="67"/>
        <v>0</v>
      </c>
      <c r="U287" s="115"/>
      <c r="V287" s="115"/>
      <c r="W287" s="115"/>
      <c r="X287" s="115">
        <v>0.22500000000000001</v>
      </c>
      <c r="Y287" s="98">
        <f t="shared" si="68"/>
        <v>0.67500000000000004</v>
      </c>
      <c r="Z287" s="98">
        <f t="shared" si="69"/>
        <v>13.981499999999999</v>
      </c>
      <c r="AA287" s="96"/>
    </row>
    <row r="288" spans="1:29" s="61" customFormat="1" x14ac:dyDescent="0.45">
      <c r="A288" s="86" t="s">
        <v>445</v>
      </c>
      <c r="B288" s="18" t="s">
        <v>874</v>
      </c>
      <c r="C288" s="86"/>
      <c r="D288" s="86"/>
      <c r="E288" s="97">
        <f t="shared" si="63"/>
        <v>6.5072499999999991</v>
      </c>
      <c r="F288" s="115">
        <v>2.67</v>
      </c>
      <c r="G288" s="98">
        <f t="shared" si="64"/>
        <v>3.2364999999999999</v>
      </c>
      <c r="H288" s="98">
        <v>0.7</v>
      </c>
      <c r="I288" s="115"/>
      <c r="J288" s="115"/>
      <c r="K288" s="115"/>
      <c r="L288" s="115"/>
      <c r="M288" s="115"/>
      <c r="N288" s="98">
        <v>0.7</v>
      </c>
      <c r="O288" s="98">
        <f t="shared" si="65"/>
        <v>1.8689999999999998</v>
      </c>
      <c r="P288" s="115"/>
      <c r="Q288" s="115">
        <v>0.25</v>
      </c>
      <c r="R288" s="98">
        <f t="shared" si="66"/>
        <v>0.66749999999999998</v>
      </c>
      <c r="S288" s="115"/>
      <c r="T288" s="115">
        <f t="shared" si="67"/>
        <v>0</v>
      </c>
      <c r="U288" s="115"/>
      <c r="V288" s="115"/>
      <c r="W288" s="115"/>
      <c r="X288" s="115">
        <v>0.22500000000000001</v>
      </c>
      <c r="Y288" s="98">
        <f t="shared" si="68"/>
        <v>0.60075000000000001</v>
      </c>
      <c r="Z288" s="98">
        <f t="shared" si="69"/>
        <v>15.226964999999996</v>
      </c>
      <c r="AA288" s="96"/>
    </row>
    <row r="289" spans="1:27" s="61" customFormat="1" x14ac:dyDescent="0.45">
      <c r="A289" s="86" t="s">
        <v>447</v>
      </c>
      <c r="B289" s="18" t="s">
        <v>875</v>
      </c>
      <c r="C289" s="86"/>
      <c r="D289" s="86"/>
      <c r="E289" s="97">
        <f t="shared" si="63"/>
        <v>7.1837499999999999</v>
      </c>
      <c r="F289" s="115">
        <v>3.65</v>
      </c>
      <c r="G289" s="98">
        <f t="shared" si="64"/>
        <v>2.7124999999999999</v>
      </c>
      <c r="H289" s="98">
        <v>0.7</v>
      </c>
      <c r="I289" s="115"/>
      <c r="J289" s="115"/>
      <c r="K289" s="115"/>
      <c r="L289" s="115"/>
      <c r="M289" s="115">
        <v>0.1</v>
      </c>
      <c r="N289" s="98"/>
      <c r="O289" s="98">
        <f t="shared" si="65"/>
        <v>0</v>
      </c>
      <c r="P289" s="115">
        <v>1</v>
      </c>
      <c r="Q289" s="115">
        <v>0.25</v>
      </c>
      <c r="R289" s="98">
        <f t="shared" si="66"/>
        <v>0.91249999999999998</v>
      </c>
      <c r="S289" s="115"/>
      <c r="T289" s="115">
        <f t="shared" si="67"/>
        <v>0</v>
      </c>
      <c r="U289" s="115"/>
      <c r="V289" s="115"/>
      <c r="W289" s="115"/>
      <c r="X289" s="115">
        <v>0.22500000000000001</v>
      </c>
      <c r="Y289" s="98">
        <f t="shared" si="68"/>
        <v>0.82125000000000004</v>
      </c>
      <c r="Z289" s="98">
        <f t="shared" si="69"/>
        <v>16.809974999999998</v>
      </c>
      <c r="AA289" s="96"/>
    </row>
    <row r="290" spans="1:27" s="61" customFormat="1" x14ac:dyDescent="0.45">
      <c r="A290" s="86" t="s">
        <v>449</v>
      </c>
      <c r="B290" s="18" t="s">
        <v>876</v>
      </c>
      <c r="C290" s="86"/>
      <c r="D290" s="86"/>
      <c r="E290" s="97">
        <f t="shared" si="63"/>
        <v>5.7895000000000003</v>
      </c>
      <c r="F290" s="115">
        <v>2.34</v>
      </c>
      <c r="G290" s="98">
        <f t="shared" si="64"/>
        <v>2.923</v>
      </c>
      <c r="H290" s="98">
        <v>0.7</v>
      </c>
      <c r="I290" s="115"/>
      <c r="J290" s="115"/>
      <c r="K290" s="115"/>
      <c r="L290" s="115"/>
      <c r="M290" s="115"/>
      <c r="N290" s="98">
        <v>0.7</v>
      </c>
      <c r="O290" s="98">
        <f t="shared" si="65"/>
        <v>1.6379999999999999</v>
      </c>
      <c r="P290" s="115"/>
      <c r="Q290" s="115">
        <v>0.25</v>
      </c>
      <c r="R290" s="98">
        <f t="shared" si="66"/>
        <v>0.58499999999999996</v>
      </c>
      <c r="S290" s="115"/>
      <c r="T290" s="115">
        <f t="shared" si="67"/>
        <v>0</v>
      </c>
      <c r="U290" s="115"/>
      <c r="V290" s="115"/>
      <c r="W290" s="115"/>
      <c r="X290" s="115">
        <v>0.22500000000000001</v>
      </c>
      <c r="Y290" s="98">
        <f t="shared" si="68"/>
        <v>0.52649999999999997</v>
      </c>
      <c r="Z290" s="98">
        <f t="shared" si="69"/>
        <v>13.54743</v>
      </c>
      <c r="AA290" s="96"/>
    </row>
    <row r="291" spans="1:27" s="61" customFormat="1" x14ac:dyDescent="0.45">
      <c r="A291" s="86" t="s">
        <v>451</v>
      </c>
      <c r="B291" s="18" t="s">
        <v>877</v>
      </c>
      <c r="C291" s="86"/>
      <c r="D291" s="86"/>
      <c r="E291" s="97">
        <f t="shared" si="63"/>
        <v>7.0197500000000002</v>
      </c>
      <c r="F291" s="115">
        <v>3.66</v>
      </c>
      <c r="G291" s="98">
        <f t="shared" si="64"/>
        <v>2.5024999999999999</v>
      </c>
      <c r="H291" s="98">
        <v>0.7</v>
      </c>
      <c r="I291" s="115">
        <v>0.15</v>
      </c>
      <c r="J291" s="115"/>
      <c r="K291" s="115"/>
      <c r="L291" s="115"/>
      <c r="M291" s="115"/>
      <c r="N291" s="98"/>
      <c r="O291" s="98">
        <f t="shared" si="65"/>
        <v>0</v>
      </c>
      <c r="P291" s="115">
        <v>0.7</v>
      </c>
      <c r="Q291" s="115">
        <v>0.25</v>
      </c>
      <c r="R291" s="98">
        <f t="shared" si="66"/>
        <v>0.95250000000000001</v>
      </c>
      <c r="S291" s="115"/>
      <c r="T291" s="115">
        <f t="shared" si="67"/>
        <v>0</v>
      </c>
      <c r="U291" s="115"/>
      <c r="V291" s="115"/>
      <c r="W291" s="115"/>
      <c r="X291" s="115">
        <v>0.22500000000000001</v>
      </c>
      <c r="Y291" s="98">
        <f t="shared" si="68"/>
        <v>0.85725000000000007</v>
      </c>
      <c r="Z291" s="98">
        <f t="shared" si="69"/>
        <v>16.426214999999999</v>
      </c>
      <c r="AA291" s="96"/>
    </row>
    <row r="292" spans="1:27" s="61" customFormat="1" x14ac:dyDescent="0.45">
      <c r="A292" s="86" t="s">
        <v>453</v>
      </c>
      <c r="B292" s="18" t="s">
        <v>878</v>
      </c>
      <c r="C292" s="86"/>
      <c r="D292" s="86"/>
      <c r="E292" s="97">
        <f t="shared" si="63"/>
        <v>6.1157499999999994</v>
      </c>
      <c r="F292" s="115">
        <v>2.34</v>
      </c>
      <c r="G292" s="98">
        <f t="shared" si="64"/>
        <v>3.2154999999999996</v>
      </c>
      <c r="H292" s="98">
        <v>0.7</v>
      </c>
      <c r="I292" s="115">
        <v>0.15</v>
      </c>
      <c r="J292" s="115"/>
      <c r="K292" s="115"/>
      <c r="L292" s="115"/>
      <c r="M292" s="115"/>
      <c r="N292" s="98">
        <v>0.7</v>
      </c>
      <c r="O292" s="98">
        <f t="shared" si="65"/>
        <v>1.7429999999999997</v>
      </c>
      <c r="P292" s="115"/>
      <c r="Q292" s="115">
        <v>0.25</v>
      </c>
      <c r="R292" s="98">
        <f t="shared" si="66"/>
        <v>0.62249999999999994</v>
      </c>
      <c r="S292" s="115"/>
      <c r="T292" s="115">
        <f t="shared" si="67"/>
        <v>0</v>
      </c>
      <c r="U292" s="115"/>
      <c r="V292" s="115"/>
      <c r="W292" s="115"/>
      <c r="X292" s="115">
        <v>0.22500000000000001</v>
      </c>
      <c r="Y292" s="98">
        <f t="shared" si="68"/>
        <v>0.56024999999999991</v>
      </c>
      <c r="Z292" s="98">
        <f t="shared" si="69"/>
        <v>14.310854999999998</v>
      </c>
      <c r="AA292" s="96"/>
    </row>
    <row r="293" spans="1:27" s="61" customFormat="1" x14ac:dyDescent="0.45">
      <c r="A293" s="86" t="s">
        <v>455</v>
      </c>
      <c r="B293" s="18" t="s">
        <v>879</v>
      </c>
      <c r="C293" s="86"/>
      <c r="D293" s="86"/>
      <c r="E293" s="97">
        <f t="shared" si="63"/>
        <v>9.0012500000000006</v>
      </c>
      <c r="F293" s="115">
        <v>4.6500000000000004</v>
      </c>
      <c r="G293" s="98">
        <f t="shared" si="64"/>
        <v>3.2374999999999998</v>
      </c>
      <c r="H293" s="98">
        <v>0.7</v>
      </c>
      <c r="I293" s="115">
        <v>0.3</v>
      </c>
      <c r="J293" s="115"/>
      <c r="K293" s="115"/>
      <c r="L293" s="115"/>
      <c r="M293" s="115"/>
      <c r="N293" s="98"/>
      <c r="O293" s="98">
        <f t="shared" si="65"/>
        <v>0</v>
      </c>
      <c r="P293" s="115">
        <v>1</v>
      </c>
      <c r="Q293" s="115">
        <v>0.25</v>
      </c>
      <c r="R293" s="98">
        <f t="shared" si="66"/>
        <v>1.2375</v>
      </c>
      <c r="S293" s="115"/>
      <c r="T293" s="115">
        <f t="shared" si="67"/>
        <v>0</v>
      </c>
      <c r="U293" s="115"/>
      <c r="V293" s="115"/>
      <c r="W293" s="115"/>
      <c r="X293" s="115">
        <v>0.22500000000000001</v>
      </c>
      <c r="Y293" s="98">
        <f t="shared" si="68"/>
        <v>1.11375</v>
      </c>
      <c r="Z293" s="98">
        <f t="shared" si="69"/>
        <v>21.062925</v>
      </c>
      <c r="AA293" s="96"/>
    </row>
    <row r="294" spans="1:27" s="61" customFormat="1" x14ac:dyDescent="0.45">
      <c r="A294" s="86" t="s">
        <v>457</v>
      </c>
      <c r="B294" s="18" t="s">
        <v>880</v>
      </c>
      <c r="C294" s="86"/>
      <c r="D294" s="86"/>
      <c r="E294" s="97">
        <f t="shared" si="63"/>
        <v>9.1364999999999998</v>
      </c>
      <c r="F294" s="115">
        <v>4.74</v>
      </c>
      <c r="G294" s="98">
        <f t="shared" si="64"/>
        <v>3.2850000000000001</v>
      </c>
      <c r="H294" s="98">
        <v>0.7</v>
      </c>
      <c r="I294" s="115">
        <v>0.2</v>
      </c>
      <c r="J294" s="115"/>
      <c r="K294" s="115"/>
      <c r="L294" s="115"/>
      <c r="M294" s="115">
        <v>0.15</v>
      </c>
      <c r="N294" s="98"/>
      <c r="O294" s="98">
        <f t="shared" si="65"/>
        <v>0</v>
      </c>
      <c r="P294" s="115">
        <v>1</v>
      </c>
      <c r="Q294" s="115">
        <v>0.25</v>
      </c>
      <c r="R294" s="98">
        <f t="shared" si="66"/>
        <v>1.2350000000000001</v>
      </c>
      <c r="S294" s="115"/>
      <c r="T294" s="115">
        <f t="shared" si="67"/>
        <v>0</v>
      </c>
      <c r="U294" s="115"/>
      <c r="V294" s="115"/>
      <c r="W294" s="115"/>
      <c r="X294" s="115">
        <v>0.22500000000000001</v>
      </c>
      <c r="Y294" s="98">
        <f t="shared" si="68"/>
        <v>1.1115000000000002</v>
      </c>
      <c r="Z294" s="98">
        <f t="shared" si="69"/>
        <v>21.37941</v>
      </c>
      <c r="AA294" s="96"/>
    </row>
    <row r="295" spans="1:27" s="61" customFormat="1" x14ac:dyDescent="0.45">
      <c r="A295" s="86" t="s">
        <v>459</v>
      </c>
      <c r="B295" s="18" t="s">
        <v>881</v>
      </c>
      <c r="C295" s="86"/>
      <c r="D295" s="86"/>
      <c r="E295" s="97">
        <f t="shared" si="63"/>
        <v>11.641500000000001</v>
      </c>
      <c r="F295" s="115">
        <v>6.44</v>
      </c>
      <c r="G295" s="98">
        <f t="shared" si="64"/>
        <v>3.6850000000000001</v>
      </c>
      <c r="H295" s="98">
        <v>0.7</v>
      </c>
      <c r="I295" s="115">
        <v>0.3</v>
      </c>
      <c r="J295" s="115"/>
      <c r="K295" s="115"/>
      <c r="L295" s="115"/>
      <c r="M295" s="115"/>
      <c r="N295" s="98"/>
      <c r="O295" s="98">
        <f t="shared" si="65"/>
        <v>0</v>
      </c>
      <c r="P295" s="115">
        <v>1</v>
      </c>
      <c r="Q295" s="115">
        <v>0.25</v>
      </c>
      <c r="R295" s="98">
        <f t="shared" si="66"/>
        <v>1.6850000000000001</v>
      </c>
      <c r="S295" s="115"/>
      <c r="T295" s="115">
        <f t="shared" si="67"/>
        <v>0</v>
      </c>
      <c r="U295" s="115"/>
      <c r="V295" s="115"/>
      <c r="W295" s="115"/>
      <c r="X295" s="115">
        <v>0.22500000000000001</v>
      </c>
      <c r="Y295" s="98">
        <f t="shared" si="68"/>
        <v>1.5165000000000002</v>
      </c>
      <c r="Z295" s="98">
        <f t="shared" si="69"/>
        <v>27.241109999999999</v>
      </c>
      <c r="AA295" s="96"/>
    </row>
    <row r="296" spans="1:27" s="61" customFormat="1" x14ac:dyDescent="0.45">
      <c r="A296" s="86" t="s">
        <v>461</v>
      </c>
      <c r="B296" s="18" t="s">
        <v>882</v>
      </c>
      <c r="C296" s="86"/>
      <c r="D296" s="86"/>
      <c r="E296" s="97">
        <f t="shared" si="63"/>
        <v>7.2485000000000008</v>
      </c>
      <c r="F296" s="115">
        <v>3.66</v>
      </c>
      <c r="G296" s="98">
        <f t="shared" si="64"/>
        <v>2.7650000000000001</v>
      </c>
      <c r="H296" s="98">
        <v>0.7</v>
      </c>
      <c r="I296" s="115"/>
      <c r="J296" s="115"/>
      <c r="K296" s="115"/>
      <c r="L296" s="115"/>
      <c r="M296" s="115">
        <v>0.15</v>
      </c>
      <c r="N296" s="98"/>
      <c r="O296" s="98">
        <f t="shared" si="65"/>
        <v>0</v>
      </c>
      <c r="P296" s="115">
        <v>1</v>
      </c>
      <c r="Q296" s="115">
        <v>0.25</v>
      </c>
      <c r="R296" s="98">
        <f t="shared" si="66"/>
        <v>0.91500000000000004</v>
      </c>
      <c r="S296" s="115"/>
      <c r="T296" s="115">
        <f t="shared" si="67"/>
        <v>0</v>
      </c>
      <c r="U296" s="115"/>
      <c r="V296" s="115"/>
      <c r="W296" s="115"/>
      <c r="X296" s="115">
        <v>0.22500000000000001</v>
      </c>
      <c r="Y296" s="98">
        <f t="shared" si="68"/>
        <v>0.82350000000000001</v>
      </c>
      <c r="Z296" s="98">
        <f t="shared" si="69"/>
        <v>16.961490000000001</v>
      </c>
      <c r="AA296" s="96"/>
    </row>
    <row r="297" spans="1:27" s="61" customFormat="1" x14ac:dyDescent="0.45">
      <c r="A297" s="86" t="s">
        <v>463</v>
      </c>
      <c r="B297" s="18" t="s">
        <v>883</v>
      </c>
      <c r="C297" s="86"/>
      <c r="D297" s="86"/>
      <c r="E297" s="97">
        <f t="shared" si="63"/>
        <v>5.7895000000000003</v>
      </c>
      <c r="F297" s="115">
        <v>2.34</v>
      </c>
      <c r="G297" s="98">
        <f t="shared" si="64"/>
        <v>2.923</v>
      </c>
      <c r="H297" s="98">
        <v>0.7</v>
      </c>
      <c r="I297" s="115"/>
      <c r="J297" s="115"/>
      <c r="K297" s="115"/>
      <c r="L297" s="115"/>
      <c r="M297" s="115"/>
      <c r="N297" s="98">
        <v>0.7</v>
      </c>
      <c r="O297" s="98">
        <f t="shared" si="65"/>
        <v>1.6379999999999999</v>
      </c>
      <c r="P297" s="115"/>
      <c r="Q297" s="115">
        <v>0.25</v>
      </c>
      <c r="R297" s="98">
        <f t="shared" si="66"/>
        <v>0.58499999999999996</v>
      </c>
      <c r="S297" s="115"/>
      <c r="T297" s="115">
        <f t="shared" si="67"/>
        <v>0</v>
      </c>
      <c r="U297" s="115"/>
      <c r="V297" s="115"/>
      <c r="W297" s="115"/>
      <c r="X297" s="115">
        <v>0.22500000000000001</v>
      </c>
      <c r="Y297" s="98">
        <f t="shared" si="68"/>
        <v>0.52649999999999997</v>
      </c>
      <c r="Z297" s="98">
        <f t="shared" si="69"/>
        <v>13.54743</v>
      </c>
      <c r="AA297" s="96"/>
    </row>
    <row r="298" spans="1:27" s="61" customFormat="1" x14ac:dyDescent="0.45">
      <c r="A298" s="86" t="s">
        <v>465</v>
      </c>
      <c r="B298" s="18" t="s">
        <v>884</v>
      </c>
      <c r="C298" s="86"/>
      <c r="D298" s="86"/>
      <c r="E298" s="97">
        <f t="shared" si="63"/>
        <v>7.0985000000000005</v>
      </c>
      <c r="F298" s="115">
        <v>3.66</v>
      </c>
      <c r="G298" s="98">
        <f t="shared" si="64"/>
        <v>2.6150000000000002</v>
      </c>
      <c r="H298" s="98">
        <v>0.7</v>
      </c>
      <c r="I298" s="115"/>
      <c r="J298" s="115"/>
      <c r="K298" s="115"/>
      <c r="L298" s="115"/>
      <c r="M298" s="115"/>
      <c r="N298" s="98"/>
      <c r="O298" s="98">
        <f t="shared" si="65"/>
        <v>0</v>
      </c>
      <c r="P298" s="115">
        <v>1</v>
      </c>
      <c r="Q298" s="115">
        <v>0.25</v>
      </c>
      <c r="R298" s="98">
        <f t="shared" si="66"/>
        <v>0.91500000000000004</v>
      </c>
      <c r="S298" s="115"/>
      <c r="T298" s="115">
        <f t="shared" si="67"/>
        <v>0</v>
      </c>
      <c r="U298" s="115"/>
      <c r="V298" s="115"/>
      <c r="W298" s="115"/>
      <c r="X298" s="115">
        <v>0.22500000000000001</v>
      </c>
      <c r="Y298" s="98">
        <f t="shared" si="68"/>
        <v>0.82350000000000001</v>
      </c>
      <c r="Z298" s="98">
        <f t="shared" si="69"/>
        <v>16.610489999999999</v>
      </c>
      <c r="AA298" s="96"/>
    </row>
    <row r="299" spans="1:27" s="61" customFormat="1" x14ac:dyDescent="0.45">
      <c r="A299" s="86" t="s">
        <v>467</v>
      </c>
      <c r="B299" s="18" t="s">
        <v>885</v>
      </c>
      <c r="C299" s="86"/>
      <c r="D299" s="86"/>
      <c r="E299" s="97">
        <f t="shared" si="63"/>
        <v>5.7895000000000003</v>
      </c>
      <c r="F299" s="115">
        <v>2.34</v>
      </c>
      <c r="G299" s="98">
        <f t="shared" si="64"/>
        <v>2.923</v>
      </c>
      <c r="H299" s="98">
        <v>0.7</v>
      </c>
      <c r="I299" s="115"/>
      <c r="J299" s="115"/>
      <c r="K299" s="115"/>
      <c r="L299" s="115"/>
      <c r="M299" s="115"/>
      <c r="N299" s="98">
        <v>0.7</v>
      </c>
      <c r="O299" s="98">
        <f t="shared" si="65"/>
        <v>1.6379999999999999</v>
      </c>
      <c r="P299" s="115"/>
      <c r="Q299" s="115">
        <v>0.25</v>
      </c>
      <c r="R299" s="98">
        <f t="shared" si="66"/>
        <v>0.58499999999999996</v>
      </c>
      <c r="S299" s="115"/>
      <c r="T299" s="115">
        <f t="shared" si="67"/>
        <v>0</v>
      </c>
      <c r="U299" s="115"/>
      <c r="V299" s="115"/>
      <c r="W299" s="115"/>
      <c r="X299" s="115">
        <v>0.22500000000000001</v>
      </c>
      <c r="Y299" s="98">
        <f t="shared" si="68"/>
        <v>0.52649999999999997</v>
      </c>
      <c r="Z299" s="98">
        <f t="shared" si="69"/>
        <v>13.54743</v>
      </c>
      <c r="AA299" s="96"/>
    </row>
    <row r="300" spans="1:27" s="61" customFormat="1" x14ac:dyDescent="0.45">
      <c r="A300" s="86" t="s">
        <v>469</v>
      </c>
      <c r="B300" s="18" t="s">
        <v>886</v>
      </c>
      <c r="C300" s="86"/>
      <c r="D300" s="86"/>
      <c r="E300" s="97">
        <f t="shared" si="63"/>
        <v>7.0985000000000005</v>
      </c>
      <c r="F300" s="115">
        <v>3.66</v>
      </c>
      <c r="G300" s="98">
        <f t="shared" si="64"/>
        <v>2.6150000000000002</v>
      </c>
      <c r="H300" s="98">
        <v>0.7</v>
      </c>
      <c r="I300" s="115"/>
      <c r="J300" s="115"/>
      <c r="K300" s="115"/>
      <c r="L300" s="115"/>
      <c r="M300" s="115"/>
      <c r="N300" s="98"/>
      <c r="O300" s="98">
        <f t="shared" si="65"/>
        <v>0</v>
      </c>
      <c r="P300" s="115">
        <v>1</v>
      </c>
      <c r="Q300" s="115">
        <v>0.25</v>
      </c>
      <c r="R300" s="98">
        <f t="shared" si="66"/>
        <v>0.91500000000000004</v>
      </c>
      <c r="S300" s="115"/>
      <c r="T300" s="115">
        <f t="shared" si="67"/>
        <v>0</v>
      </c>
      <c r="U300" s="115"/>
      <c r="V300" s="115"/>
      <c r="W300" s="115"/>
      <c r="X300" s="115">
        <v>0.22500000000000001</v>
      </c>
      <c r="Y300" s="98">
        <f t="shared" si="68"/>
        <v>0.82350000000000001</v>
      </c>
      <c r="Z300" s="98">
        <f t="shared" si="69"/>
        <v>16.610489999999999</v>
      </c>
      <c r="AA300" s="96"/>
    </row>
    <row r="301" spans="1:27" s="61" customFormat="1" x14ac:dyDescent="0.45">
      <c r="A301" s="86" t="s">
        <v>471</v>
      </c>
      <c r="B301" s="18" t="s">
        <v>887</v>
      </c>
      <c r="C301" s="86"/>
      <c r="D301" s="86"/>
      <c r="E301" s="97">
        <f t="shared" si="63"/>
        <v>6.125</v>
      </c>
      <c r="F301" s="115">
        <v>3</v>
      </c>
      <c r="G301" s="98">
        <f t="shared" si="64"/>
        <v>2.4500000000000002</v>
      </c>
      <c r="H301" s="98">
        <v>0.7</v>
      </c>
      <c r="I301" s="115"/>
      <c r="J301" s="115"/>
      <c r="K301" s="115"/>
      <c r="L301" s="115"/>
      <c r="M301" s="115"/>
      <c r="N301" s="98"/>
      <c r="O301" s="98">
        <f t="shared" si="65"/>
        <v>0</v>
      </c>
      <c r="P301" s="115">
        <v>1</v>
      </c>
      <c r="Q301" s="115">
        <v>0.25</v>
      </c>
      <c r="R301" s="98">
        <f t="shared" si="66"/>
        <v>0.75</v>
      </c>
      <c r="S301" s="115"/>
      <c r="T301" s="115">
        <f t="shared" si="67"/>
        <v>0</v>
      </c>
      <c r="U301" s="115"/>
      <c r="V301" s="115"/>
      <c r="W301" s="115"/>
      <c r="X301" s="115">
        <v>0.22500000000000001</v>
      </c>
      <c r="Y301" s="98">
        <f t="shared" si="68"/>
        <v>0.67500000000000004</v>
      </c>
      <c r="Z301" s="98">
        <f t="shared" si="69"/>
        <v>14.3325</v>
      </c>
      <c r="AA301" s="96"/>
    </row>
    <row r="302" spans="1:27" s="61" customFormat="1" x14ac:dyDescent="0.45">
      <c r="A302" s="86" t="s">
        <v>473</v>
      </c>
      <c r="B302" s="18" t="s">
        <v>888</v>
      </c>
      <c r="C302" s="86"/>
      <c r="D302" s="86"/>
      <c r="E302" s="97">
        <f t="shared" si="63"/>
        <v>7.0985000000000005</v>
      </c>
      <c r="F302" s="115">
        <v>3.66</v>
      </c>
      <c r="G302" s="98">
        <f t="shared" si="64"/>
        <v>2.6150000000000002</v>
      </c>
      <c r="H302" s="98">
        <v>0.7</v>
      </c>
      <c r="I302" s="115"/>
      <c r="J302" s="115"/>
      <c r="K302" s="115"/>
      <c r="L302" s="115"/>
      <c r="M302" s="115"/>
      <c r="N302" s="98"/>
      <c r="O302" s="98">
        <f t="shared" si="65"/>
        <v>0</v>
      </c>
      <c r="P302" s="115">
        <v>1</v>
      </c>
      <c r="Q302" s="115">
        <v>0.25</v>
      </c>
      <c r="R302" s="98">
        <f t="shared" si="66"/>
        <v>0.91500000000000004</v>
      </c>
      <c r="S302" s="115"/>
      <c r="T302" s="115">
        <f t="shared" si="67"/>
        <v>0</v>
      </c>
      <c r="U302" s="115"/>
      <c r="V302" s="115"/>
      <c r="W302" s="115"/>
      <c r="X302" s="115">
        <v>0.22500000000000001</v>
      </c>
      <c r="Y302" s="98">
        <f t="shared" si="68"/>
        <v>0.82350000000000001</v>
      </c>
      <c r="Z302" s="98">
        <f t="shared" si="69"/>
        <v>16.610489999999999</v>
      </c>
      <c r="AA302" s="96"/>
    </row>
    <row r="303" spans="1:27" s="61" customFormat="1" x14ac:dyDescent="0.45">
      <c r="A303" s="86" t="s">
        <v>475</v>
      </c>
      <c r="B303" s="18" t="s">
        <v>619</v>
      </c>
      <c r="C303" s="86"/>
      <c r="D303" s="86"/>
      <c r="E303" s="97">
        <f t="shared" si="63"/>
        <v>7.2852500000000004</v>
      </c>
      <c r="F303" s="115">
        <v>3.99</v>
      </c>
      <c r="G303" s="98">
        <f t="shared" si="64"/>
        <v>2.3975</v>
      </c>
      <c r="H303" s="98">
        <v>0.7</v>
      </c>
      <c r="I303" s="115"/>
      <c r="J303" s="115"/>
      <c r="K303" s="115"/>
      <c r="L303" s="115"/>
      <c r="M303" s="115"/>
      <c r="N303" s="98"/>
      <c r="O303" s="98">
        <f t="shared" si="65"/>
        <v>0</v>
      </c>
      <c r="P303" s="115">
        <v>0.7</v>
      </c>
      <c r="Q303" s="115">
        <v>0.25</v>
      </c>
      <c r="R303" s="98">
        <f t="shared" si="66"/>
        <v>0.99750000000000005</v>
      </c>
      <c r="S303" s="115"/>
      <c r="T303" s="115">
        <f t="shared" si="67"/>
        <v>0</v>
      </c>
      <c r="U303" s="115"/>
      <c r="V303" s="115"/>
      <c r="W303" s="115"/>
      <c r="X303" s="115">
        <v>0.22500000000000001</v>
      </c>
      <c r="Y303" s="98">
        <f t="shared" si="68"/>
        <v>0.89775000000000005</v>
      </c>
      <c r="Z303" s="98">
        <f t="shared" si="69"/>
        <v>17.047485000000002</v>
      </c>
      <c r="AA303" s="96"/>
    </row>
    <row r="304" spans="1:27" s="61" customFormat="1" x14ac:dyDescent="0.45">
      <c r="A304" s="86" t="s">
        <v>477</v>
      </c>
      <c r="B304" s="18" t="s">
        <v>889</v>
      </c>
      <c r="C304" s="86"/>
      <c r="D304" s="86"/>
      <c r="E304" s="97">
        <f t="shared" si="63"/>
        <v>7.7352500000000006</v>
      </c>
      <c r="F304" s="115">
        <v>3.99</v>
      </c>
      <c r="G304" s="98">
        <f t="shared" si="64"/>
        <v>2.8475000000000001</v>
      </c>
      <c r="H304" s="98">
        <v>0.7</v>
      </c>
      <c r="I304" s="115"/>
      <c r="J304" s="115"/>
      <c r="K304" s="115"/>
      <c r="L304" s="115"/>
      <c r="M304" s="115">
        <v>0.15</v>
      </c>
      <c r="N304" s="98"/>
      <c r="O304" s="98">
        <f t="shared" si="65"/>
        <v>0</v>
      </c>
      <c r="P304" s="115">
        <v>1</v>
      </c>
      <c r="Q304" s="115">
        <v>0.25</v>
      </c>
      <c r="R304" s="98">
        <f t="shared" si="66"/>
        <v>0.99750000000000005</v>
      </c>
      <c r="S304" s="115"/>
      <c r="T304" s="115">
        <f t="shared" si="67"/>
        <v>0</v>
      </c>
      <c r="U304" s="115"/>
      <c r="V304" s="115"/>
      <c r="W304" s="115"/>
      <c r="X304" s="115">
        <v>0.22500000000000001</v>
      </c>
      <c r="Y304" s="98">
        <f t="shared" si="68"/>
        <v>0.89775000000000005</v>
      </c>
      <c r="Z304" s="98">
        <f t="shared" si="69"/>
        <v>18.100484999999999</v>
      </c>
      <c r="AA304" s="96"/>
    </row>
    <row r="305" spans="1:31" s="61" customFormat="1" x14ac:dyDescent="0.45">
      <c r="A305" s="86" t="s">
        <v>479</v>
      </c>
      <c r="B305" s="109" t="s">
        <v>860</v>
      </c>
      <c r="C305" s="86"/>
      <c r="D305" s="86"/>
      <c r="E305" s="97">
        <f t="shared" si="63"/>
        <v>5.2044999999999995</v>
      </c>
      <c r="F305" s="115">
        <v>2.34</v>
      </c>
      <c r="G305" s="98">
        <f t="shared" si="64"/>
        <v>2.3380000000000001</v>
      </c>
      <c r="H305" s="98">
        <v>0.7</v>
      </c>
      <c r="I305" s="115"/>
      <c r="J305" s="115"/>
      <c r="K305" s="115"/>
      <c r="L305" s="115"/>
      <c r="M305" s="115"/>
      <c r="N305" s="98">
        <v>0.7</v>
      </c>
      <c r="O305" s="98">
        <f t="shared" si="65"/>
        <v>1.6379999999999999</v>
      </c>
      <c r="P305" s="115"/>
      <c r="Q305" s="115"/>
      <c r="R305" s="98">
        <f t="shared" si="66"/>
        <v>0</v>
      </c>
      <c r="S305" s="115"/>
      <c r="T305" s="115">
        <f t="shared" si="67"/>
        <v>0</v>
      </c>
      <c r="U305" s="115"/>
      <c r="V305" s="115"/>
      <c r="W305" s="115"/>
      <c r="X305" s="115">
        <v>0.22500000000000001</v>
      </c>
      <c r="Y305" s="98">
        <f t="shared" si="68"/>
        <v>0.52649999999999997</v>
      </c>
      <c r="Z305" s="98">
        <f t="shared" si="69"/>
        <v>12.178529999999999</v>
      </c>
      <c r="AA305" s="96"/>
    </row>
    <row r="306" spans="1:31" s="61" customFormat="1" x14ac:dyDescent="0.45">
      <c r="A306" s="86" t="s">
        <v>481</v>
      </c>
      <c r="B306" s="109" t="s">
        <v>860</v>
      </c>
      <c r="C306" s="86"/>
      <c r="D306" s="86"/>
      <c r="E306" s="97">
        <f t="shared" si="63"/>
        <v>5.2044999999999995</v>
      </c>
      <c r="F306" s="115">
        <v>2.34</v>
      </c>
      <c r="G306" s="98">
        <f t="shared" si="64"/>
        <v>2.3380000000000001</v>
      </c>
      <c r="H306" s="98">
        <v>0.7</v>
      </c>
      <c r="I306" s="115"/>
      <c r="J306" s="115"/>
      <c r="K306" s="115"/>
      <c r="L306" s="115"/>
      <c r="M306" s="115"/>
      <c r="N306" s="98">
        <v>0.7</v>
      </c>
      <c r="O306" s="98">
        <f t="shared" si="65"/>
        <v>1.6379999999999999</v>
      </c>
      <c r="P306" s="115"/>
      <c r="Q306" s="115"/>
      <c r="R306" s="98">
        <f t="shared" si="66"/>
        <v>0</v>
      </c>
      <c r="S306" s="115"/>
      <c r="T306" s="115">
        <f t="shared" si="67"/>
        <v>0</v>
      </c>
      <c r="U306" s="115"/>
      <c r="V306" s="115"/>
      <c r="W306" s="115"/>
      <c r="X306" s="115">
        <v>0.22500000000000001</v>
      </c>
      <c r="Y306" s="98">
        <f t="shared" si="68"/>
        <v>0.52649999999999997</v>
      </c>
      <c r="Z306" s="98">
        <f t="shared" si="69"/>
        <v>12.178529999999999</v>
      </c>
      <c r="AA306" s="96"/>
    </row>
    <row r="307" spans="1:31" s="61" customFormat="1" x14ac:dyDescent="0.45">
      <c r="A307" s="86" t="s">
        <v>483</v>
      </c>
      <c r="B307" s="109" t="s">
        <v>860</v>
      </c>
      <c r="C307" s="86"/>
      <c r="D307" s="86"/>
      <c r="E307" s="97">
        <f t="shared" si="63"/>
        <v>5.2044999999999995</v>
      </c>
      <c r="F307" s="115">
        <v>2.34</v>
      </c>
      <c r="G307" s="98">
        <f t="shared" si="64"/>
        <v>2.3380000000000001</v>
      </c>
      <c r="H307" s="98">
        <v>0.7</v>
      </c>
      <c r="I307" s="115"/>
      <c r="J307" s="115"/>
      <c r="K307" s="115"/>
      <c r="L307" s="115"/>
      <c r="M307" s="115"/>
      <c r="N307" s="98">
        <v>0.7</v>
      </c>
      <c r="O307" s="98">
        <f t="shared" si="65"/>
        <v>1.6379999999999999</v>
      </c>
      <c r="P307" s="115"/>
      <c r="Q307" s="115"/>
      <c r="R307" s="98">
        <f t="shared" si="66"/>
        <v>0</v>
      </c>
      <c r="S307" s="115"/>
      <c r="T307" s="115">
        <f t="shared" si="67"/>
        <v>0</v>
      </c>
      <c r="U307" s="115"/>
      <c r="V307" s="115"/>
      <c r="W307" s="115"/>
      <c r="X307" s="115">
        <v>0.22500000000000001</v>
      </c>
      <c r="Y307" s="98">
        <f t="shared" si="68"/>
        <v>0.52649999999999997</v>
      </c>
      <c r="Z307" s="98">
        <f t="shared" si="69"/>
        <v>12.178529999999999</v>
      </c>
      <c r="AA307" s="96"/>
    </row>
    <row r="308" spans="1:31" s="160" customFormat="1" ht="12.75" x14ac:dyDescent="0.45">
      <c r="A308" s="416"/>
      <c r="B308" s="9" t="s">
        <v>890</v>
      </c>
      <c r="C308" s="416">
        <v>10</v>
      </c>
      <c r="D308" s="416">
        <v>9</v>
      </c>
      <c r="E308" s="159">
        <f t="shared" ref="E308:Z308" si="70">SUM(E309:E318)</f>
        <v>63.24175000000001</v>
      </c>
      <c r="F308" s="159">
        <f t="shared" si="70"/>
        <v>31.319999999999997</v>
      </c>
      <c r="G308" s="159">
        <f t="shared" si="70"/>
        <v>24.638499999999997</v>
      </c>
      <c r="H308" s="159">
        <f t="shared" si="70"/>
        <v>7.0000000000000009</v>
      </c>
      <c r="I308" s="159">
        <f t="shared" si="70"/>
        <v>1.0499999999999998</v>
      </c>
      <c r="J308" s="159">
        <f t="shared" si="70"/>
        <v>0</v>
      </c>
      <c r="K308" s="159">
        <f t="shared" si="70"/>
        <v>0</v>
      </c>
      <c r="L308" s="159">
        <f t="shared" si="70"/>
        <v>0</v>
      </c>
      <c r="M308" s="159">
        <f t="shared" si="70"/>
        <v>0</v>
      </c>
      <c r="N308" s="159">
        <f t="shared" si="70"/>
        <v>1.4</v>
      </c>
      <c r="O308" s="159">
        <f t="shared" si="70"/>
        <v>3.3809999999999993</v>
      </c>
      <c r="P308" s="159">
        <f t="shared" si="70"/>
        <v>5.7</v>
      </c>
      <c r="Q308" s="159">
        <f t="shared" si="70"/>
        <v>2.25</v>
      </c>
      <c r="R308" s="159">
        <f t="shared" si="70"/>
        <v>7.5075000000000003</v>
      </c>
      <c r="S308" s="159">
        <f t="shared" si="70"/>
        <v>0</v>
      </c>
      <c r="T308" s="159">
        <f t="shared" si="70"/>
        <v>0</v>
      </c>
      <c r="U308" s="159">
        <f t="shared" si="70"/>
        <v>0</v>
      </c>
      <c r="V308" s="159">
        <f t="shared" si="70"/>
        <v>0</v>
      </c>
      <c r="W308" s="159">
        <f t="shared" si="70"/>
        <v>0</v>
      </c>
      <c r="X308" s="159">
        <f t="shared" si="70"/>
        <v>2.2500000000000004</v>
      </c>
      <c r="Y308" s="159">
        <f t="shared" si="70"/>
        <v>7.2832499999999989</v>
      </c>
      <c r="Z308" s="159">
        <f t="shared" si="70"/>
        <v>147.98569499999999</v>
      </c>
      <c r="AA308" s="419"/>
      <c r="AB308" s="93">
        <f>E308*12*2.34</f>
        <v>1775.82834</v>
      </c>
      <c r="AC308" s="93">
        <f>F308*10%*2.34*12</f>
        <v>87.946559999999991</v>
      </c>
      <c r="AD308" s="93">
        <f>AB308-AB314-AB315-AB316-AB317</f>
        <v>1064.0213999999999</v>
      </c>
      <c r="AE308" s="93">
        <f>AC308-AC314-AC315-AC316-AC317</f>
        <v>54.25056</v>
      </c>
    </row>
    <row r="309" spans="1:31" s="160" customFormat="1" x14ac:dyDescent="0.45">
      <c r="A309" s="86" t="s">
        <v>190</v>
      </c>
      <c r="B309" s="109" t="s">
        <v>891</v>
      </c>
      <c r="C309" s="416"/>
      <c r="D309" s="416"/>
      <c r="E309" s="97">
        <f>F309+G309+Y309</f>
        <v>8.0277499999999993</v>
      </c>
      <c r="F309" s="115">
        <v>3.99</v>
      </c>
      <c r="G309" s="98">
        <f>H309+I309+K309+M309+O309+P309+R309+T309+V309+W309</f>
        <v>3.0724999999999998</v>
      </c>
      <c r="H309" s="98">
        <v>0.7</v>
      </c>
      <c r="I309" s="115">
        <v>0.3</v>
      </c>
      <c r="J309" s="115"/>
      <c r="K309" s="115"/>
      <c r="L309" s="115"/>
      <c r="M309" s="115"/>
      <c r="N309" s="98"/>
      <c r="O309" s="98">
        <f>N309*(F309+I309+K309)</f>
        <v>0</v>
      </c>
      <c r="P309" s="115">
        <v>1</v>
      </c>
      <c r="Q309" s="115">
        <v>0.25</v>
      </c>
      <c r="R309" s="98">
        <f>Q309*(F309+I309+K309)</f>
        <v>1.0725</v>
      </c>
      <c r="S309" s="115"/>
      <c r="T309" s="115">
        <f>S309*(F309+I309+K309)</f>
        <v>0</v>
      </c>
      <c r="U309" s="115"/>
      <c r="V309" s="115"/>
      <c r="W309" s="115"/>
      <c r="X309" s="115">
        <v>0.22500000000000001</v>
      </c>
      <c r="Y309" s="98">
        <f>X309*(F309+I309+K309+V309)</f>
        <v>0.96525000000000005</v>
      </c>
      <c r="Z309" s="98">
        <f>E309*2.34</f>
        <v>18.784934999999997</v>
      </c>
      <c r="AA309" s="419"/>
    </row>
    <row r="310" spans="1:31" s="160" customFormat="1" x14ac:dyDescent="0.45">
      <c r="A310" s="86" t="s">
        <v>191</v>
      </c>
      <c r="B310" s="109" t="s">
        <v>892</v>
      </c>
      <c r="C310" s="416"/>
      <c r="D310" s="416"/>
      <c r="E310" s="97">
        <f t="shared" ref="E310:E318" si="71">F310+G310+Y310</f>
        <v>5.3382499999999995</v>
      </c>
      <c r="F310" s="115">
        <v>2.67</v>
      </c>
      <c r="G310" s="98">
        <f t="shared" ref="G310:G318" si="72">H310+I310+K310+M310+O310+P310+R310+T310+V310+W310</f>
        <v>2.0674999999999999</v>
      </c>
      <c r="H310" s="98">
        <v>0.7</v>
      </c>
      <c r="I310" s="115"/>
      <c r="J310" s="115"/>
      <c r="K310" s="115"/>
      <c r="L310" s="115"/>
      <c r="M310" s="115"/>
      <c r="N310" s="98"/>
      <c r="O310" s="98">
        <f t="shared" ref="O310:O318" si="73">N310*(F310+I310+K310)</f>
        <v>0</v>
      </c>
      <c r="P310" s="115">
        <v>0.7</v>
      </c>
      <c r="Q310" s="115">
        <v>0.25</v>
      </c>
      <c r="R310" s="98">
        <f t="shared" ref="R310:R318" si="74">Q310*(F310+I310+K310)</f>
        <v>0.66749999999999998</v>
      </c>
      <c r="S310" s="115"/>
      <c r="T310" s="115">
        <f t="shared" ref="T310:T318" si="75">S310*(F310+I310+K310)</f>
        <v>0</v>
      </c>
      <c r="U310" s="115"/>
      <c r="V310" s="115"/>
      <c r="W310" s="115"/>
      <c r="X310" s="115">
        <v>0.22500000000000001</v>
      </c>
      <c r="Y310" s="98">
        <f t="shared" ref="Y310:Y318" si="76">X310*(F310+I310+K310+V310)</f>
        <v>0.60075000000000001</v>
      </c>
      <c r="Z310" s="98">
        <f t="shared" ref="Z310:Z318" si="77">E310*2.34</f>
        <v>12.491504999999998</v>
      </c>
      <c r="AA310" s="419"/>
    </row>
    <row r="311" spans="1:31" s="160" customFormat="1" x14ac:dyDescent="0.45">
      <c r="A311" s="86" t="s">
        <v>309</v>
      </c>
      <c r="B311" s="109" t="s">
        <v>893</v>
      </c>
      <c r="C311" s="416"/>
      <c r="D311" s="416"/>
      <c r="E311" s="97">
        <f t="shared" si="71"/>
        <v>5.625</v>
      </c>
      <c r="F311" s="115">
        <v>3</v>
      </c>
      <c r="G311" s="98">
        <f t="shared" si="72"/>
        <v>1.95</v>
      </c>
      <c r="H311" s="98">
        <v>0.7</v>
      </c>
      <c r="I311" s="115"/>
      <c r="J311" s="115"/>
      <c r="K311" s="115"/>
      <c r="L311" s="115"/>
      <c r="M311" s="115"/>
      <c r="N311" s="98"/>
      <c r="O311" s="98">
        <f t="shared" si="73"/>
        <v>0</v>
      </c>
      <c r="P311" s="115">
        <v>0.5</v>
      </c>
      <c r="Q311" s="115">
        <v>0.25</v>
      </c>
      <c r="R311" s="98">
        <f t="shared" si="74"/>
        <v>0.75</v>
      </c>
      <c r="S311" s="115"/>
      <c r="T311" s="115">
        <f t="shared" si="75"/>
        <v>0</v>
      </c>
      <c r="U311" s="115"/>
      <c r="V311" s="115"/>
      <c r="W311" s="115"/>
      <c r="X311" s="115">
        <v>0.22500000000000001</v>
      </c>
      <c r="Y311" s="98">
        <f t="shared" si="76"/>
        <v>0.67500000000000004</v>
      </c>
      <c r="Z311" s="98">
        <f t="shared" si="77"/>
        <v>13.1625</v>
      </c>
      <c r="AA311" s="419"/>
    </row>
    <row r="312" spans="1:31" s="160" customFormat="1" x14ac:dyDescent="0.45">
      <c r="A312" s="86" t="s">
        <v>310</v>
      </c>
      <c r="B312" s="109" t="s">
        <v>894</v>
      </c>
      <c r="C312" s="416"/>
      <c r="D312" s="416"/>
      <c r="E312" s="97">
        <f t="shared" si="71"/>
        <v>8.5587499999999999</v>
      </c>
      <c r="F312" s="115">
        <v>4.6500000000000004</v>
      </c>
      <c r="G312" s="98">
        <f t="shared" si="72"/>
        <v>2.8624999999999998</v>
      </c>
      <c r="H312" s="98">
        <v>0.7</v>
      </c>
      <c r="I312" s="115"/>
      <c r="J312" s="115"/>
      <c r="K312" s="115"/>
      <c r="L312" s="115"/>
      <c r="M312" s="115"/>
      <c r="N312" s="98"/>
      <c r="O312" s="98">
        <f t="shared" si="73"/>
        <v>0</v>
      </c>
      <c r="P312" s="115">
        <v>1</v>
      </c>
      <c r="Q312" s="115">
        <v>0.25</v>
      </c>
      <c r="R312" s="98">
        <f t="shared" si="74"/>
        <v>1.1625000000000001</v>
      </c>
      <c r="S312" s="115"/>
      <c r="T312" s="115">
        <f t="shared" si="75"/>
        <v>0</v>
      </c>
      <c r="U312" s="115"/>
      <c r="V312" s="115"/>
      <c r="W312" s="115"/>
      <c r="X312" s="115">
        <v>0.22500000000000001</v>
      </c>
      <c r="Y312" s="98">
        <f t="shared" si="76"/>
        <v>1.0462500000000001</v>
      </c>
      <c r="Z312" s="98">
        <f t="shared" si="77"/>
        <v>20.027474999999999</v>
      </c>
      <c r="AA312" s="419"/>
    </row>
    <row r="313" spans="1:31" s="160" customFormat="1" x14ac:dyDescent="0.45">
      <c r="A313" s="86" t="s">
        <v>311</v>
      </c>
      <c r="B313" s="109" t="s">
        <v>895</v>
      </c>
      <c r="C313" s="416"/>
      <c r="D313" s="416"/>
      <c r="E313" s="97">
        <f t="shared" si="71"/>
        <v>5.1382499999999993</v>
      </c>
      <c r="F313" s="115">
        <v>2.67</v>
      </c>
      <c r="G313" s="98">
        <f t="shared" si="72"/>
        <v>1.8674999999999999</v>
      </c>
      <c r="H313" s="98">
        <v>0.7</v>
      </c>
      <c r="I313" s="115"/>
      <c r="J313" s="115"/>
      <c r="K313" s="115"/>
      <c r="L313" s="115"/>
      <c r="M313" s="115"/>
      <c r="N313" s="98"/>
      <c r="O313" s="98">
        <f t="shared" si="73"/>
        <v>0</v>
      </c>
      <c r="P313" s="115">
        <v>0.5</v>
      </c>
      <c r="Q313" s="115">
        <v>0.25</v>
      </c>
      <c r="R313" s="98">
        <f t="shared" si="74"/>
        <v>0.66749999999999998</v>
      </c>
      <c r="S313" s="115"/>
      <c r="T313" s="115">
        <f t="shared" si="75"/>
        <v>0</v>
      </c>
      <c r="U313" s="115"/>
      <c r="V313" s="115"/>
      <c r="W313" s="115"/>
      <c r="X313" s="115">
        <v>0.22500000000000001</v>
      </c>
      <c r="Y313" s="98">
        <f t="shared" si="76"/>
        <v>0.60075000000000001</v>
      </c>
      <c r="Z313" s="98">
        <f t="shared" si="77"/>
        <v>12.023504999999998</v>
      </c>
      <c r="AA313" s="419"/>
    </row>
    <row r="314" spans="1:31" s="160" customFormat="1" x14ac:dyDescent="0.45">
      <c r="A314" s="86" t="s">
        <v>312</v>
      </c>
      <c r="B314" s="109" t="s">
        <v>896</v>
      </c>
      <c r="C314" s="416"/>
      <c r="D314" s="416"/>
      <c r="E314" s="97">
        <f t="shared" si="71"/>
        <v>6.1157499999999994</v>
      </c>
      <c r="F314" s="115">
        <v>2.34</v>
      </c>
      <c r="G314" s="98">
        <f t="shared" si="72"/>
        <v>3.2154999999999996</v>
      </c>
      <c r="H314" s="98">
        <v>0.7</v>
      </c>
      <c r="I314" s="115">
        <v>0.15</v>
      </c>
      <c r="J314" s="115"/>
      <c r="K314" s="115"/>
      <c r="L314" s="115"/>
      <c r="M314" s="115"/>
      <c r="N314" s="98">
        <v>0.7</v>
      </c>
      <c r="O314" s="98">
        <f t="shared" si="73"/>
        <v>1.7429999999999997</v>
      </c>
      <c r="P314" s="115"/>
      <c r="Q314" s="115">
        <v>0.25</v>
      </c>
      <c r="R314" s="98">
        <f t="shared" si="74"/>
        <v>0.62249999999999994</v>
      </c>
      <c r="S314" s="115"/>
      <c r="T314" s="115">
        <f t="shared" si="75"/>
        <v>0</v>
      </c>
      <c r="U314" s="115"/>
      <c r="V314" s="115"/>
      <c r="W314" s="115"/>
      <c r="X314" s="115">
        <v>0.22500000000000001</v>
      </c>
      <c r="Y314" s="98">
        <f t="shared" si="76"/>
        <v>0.56024999999999991</v>
      </c>
      <c r="Z314" s="98">
        <f t="shared" si="77"/>
        <v>14.310854999999998</v>
      </c>
      <c r="AA314" s="419"/>
      <c r="AB314" s="93">
        <f>E314*12*2.34</f>
        <v>171.73025999999999</v>
      </c>
      <c r="AC314" s="93">
        <f>F314*10%*2.34*12</f>
        <v>6.5707199999999997</v>
      </c>
    </row>
    <row r="315" spans="1:31" s="160" customFormat="1" x14ac:dyDescent="0.45">
      <c r="A315" s="86" t="s">
        <v>313</v>
      </c>
      <c r="B315" s="109" t="s">
        <v>897</v>
      </c>
      <c r="C315" s="416"/>
      <c r="D315" s="416"/>
      <c r="E315" s="97">
        <f t="shared" si="71"/>
        <v>6.9067499999999997</v>
      </c>
      <c r="F315" s="115">
        <v>3.33</v>
      </c>
      <c r="G315" s="98">
        <f t="shared" si="72"/>
        <v>2.7824999999999998</v>
      </c>
      <c r="H315" s="98">
        <v>0.7</v>
      </c>
      <c r="I315" s="115">
        <v>0.2</v>
      </c>
      <c r="J315" s="115"/>
      <c r="K315" s="115"/>
      <c r="L315" s="115"/>
      <c r="M315" s="115"/>
      <c r="N315" s="98"/>
      <c r="O315" s="98">
        <f t="shared" si="73"/>
        <v>0</v>
      </c>
      <c r="P315" s="115">
        <v>1</v>
      </c>
      <c r="Q315" s="115">
        <v>0.25</v>
      </c>
      <c r="R315" s="98">
        <f t="shared" si="74"/>
        <v>0.88250000000000006</v>
      </c>
      <c r="S315" s="115"/>
      <c r="T315" s="115">
        <f t="shared" si="75"/>
        <v>0</v>
      </c>
      <c r="U315" s="115"/>
      <c r="V315" s="115"/>
      <c r="W315" s="115"/>
      <c r="X315" s="115">
        <v>0.22500000000000001</v>
      </c>
      <c r="Y315" s="98">
        <f t="shared" si="76"/>
        <v>0.79425000000000012</v>
      </c>
      <c r="Z315" s="98">
        <f t="shared" si="77"/>
        <v>16.161794999999998</v>
      </c>
      <c r="AA315" s="419"/>
      <c r="AB315" s="93">
        <f>E315*12*2.34</f>
        <v>193.94153999999997</v>
      </c>
      <c r="AC315" s="93">
        <f>F315*10%*2.34*12</f>
        <v>9.3506400000000003</v>
      </c>
    </row>
    <row r="316" spans="1:31" s="160" customFormat="1" x14ac:dyDescent="0.45">
      <c r="A316" s="86" t="s">
        <v>314</v>
      </c>
      <c r="B316" s="109" t="s">
        <v>898</v>
      </c>
      <c r="C316" s="416"/>
      <c r="D316" s="416"/>
      <c r="E316" s="97">
        <f t="shared" si="71"/>
        <v>6.9067499999999997</v>
      </c>
      <c r="F316" s="115">
        <v>3.33</v>
      </c>
      <c r="G316" s="98">
        <f t="shared" si="72"/>
        <v>2.7824999999999998</v>
      </c>
      <c r="H316" s="98">
        <v>0.7</v>
      </c>
      <c r="I316" s="115">
        <v>0.2</v>
      </c>
      <c r="J316" s="115"/>
      <c r="K316" s="115"/>
      <c r="L316" s="115"/>
      <c r="M316" s="115"/>
      <c r="N316" s="98"/>
      <c r="O316" s="98">
        <f t="shared" si="73"/>
        <v>0</v>
      </c>
      <c r="P316" s="115">
        <v>1</v>
      </c>
      <c r="Q316" s="115">
        <v>0.25</v>
      </c>
      <c r="R316" s="98">
        <f t="shared" si="74"/>
        <v>0.88250000000000006</v>
      </c>
      <c r="S316" s="115"/>
      <c r="T316" s="115">
        <f t="shared" si="75"/>
        <v>0</v>
      </c>
      <c r="U316" s="115"/>
      <c r="V316" s="115"/>
      <c r="W316" s="115"/>
      <c r="X316" s="115">
        <v>0.22500000000000001</v>
      </c>
      <c r="Y316" s="98">
        <f t="shared" si="76"/>
        <v>0.79425000000000012</v>
      </c>
      <c r="Z316" s="98">
        <f t="shared" si="77"/>
        <v>16.161794999999998</v>
      </c>
      <c r="AA316" s="419"/>
      <c r="AB316" s="93">
        <f>E316*12*2.34</f>
        <v>193.94153999999997</v>
      </c>
      <c r="AC316" s="93">
        <f>F316*10%*2.34*12</f>
        <v>9.3506400000000003</v>
      </c>
    </row>
    <row r="317" spans="1:31" s="160" customFormat="1" x14ac:dyDescent="0.45">
      <c r="A317" s="86" t="s">
        <v>315</v>
      </c>
      <c r="B317" s="109" t="s">
        <v>899</v>
      </c>
      <c r="C317" s="416"/>
      <c r="D317" s="416"/>
      <c r="E317" s="97">
        <f t="shared" si="71"/>
        <v>5.42</v>
      </c>
      <c r="F317" s="115">
        <v>3</v>
      </c>
      <c r="G317" s="98">
        <f t="shared" si="72"/>
        <v>1.7</v>
      </c>
      <c r="H317" s="98">
        <v>0.7</v>
      </c>
      <c r="I317" s="115">
        <v>0.2</v>
      </c>
      <c r="J317" s="115"/>
      <c r="K317" s="115"/>
      <c r="L317" s="115"/>
      <c r="M317" s="115"/>
      <c r="N317" s="98"/>
      <c r="O317" s="98">
        <f t="shared" si="73"/>
        <v>0</v>
      </c>
      <c r="P317" s="115"/>
      <c r="Q317" s="115">
        <v>0.25</v>
      </c>
      <c r="R317" s="98">
        <f t="shared" si="74"/>
        <v>0.8</v>
      </c>
      <c r="S317" s="115"/>
      <c r="T317" s="115">
        <f t="shared" si="75"/>
        <v>0</v>
      </c>
      <c r="U317" s="115"/>
      <c r="V317" s="115"/>
      <c r="W317" s="115"/>
      <c r="X317" s="115">
        <v>0.22500000000000001</v>
      </c>
      <c r="Y317" s="98">
        <f t="shared" si="76"/>
        <v>0.72000000000000008</v>
      </c>
      <c r="Z317" s="98">
        <f t="shared" si="77"/>
        <v>12.682799999999999</v>
      </c>
      <c r="AA317" s="419"/>
      <c r="AB317" s="93">
        <f>E317*12*2.34</f>
        <v>152.19359999999998</v>
      </c>
      <c r="AC317" s="93">
        <f>F317*10%*2.34*12</f>
        <v>8.4240000000000013</v>
      </c>
    </row>
    <row r="318" spans="1:31" s="160" customFormat="1" x14ac:dyDescent="0.45">
      <c r="A318" s="86" t="s">
        <v>316</v>
      </c>
      <c r="B318" s="109" t="s">
        <v>860</v>
      </c>
      <c r="C318" s="86"/>
      <c r="D318" s="86"/>
      <c r="E318" s="97">
        <f t="shared" si="71"/>
        <v>5.2044999999999995</v>
      </c>
      <c r="F318" s="115">
        <v>2.34</v>
      </c>
      <c r="G318" s="98">
        <f t="shared" si="72"/>
        <v>2.3380000000000001</v>
      </c>
      <c r="H318" s="98">
        <v>0.7</v>
      </c>
      <c r="I318" s="115"/>
      <c r="J318" s="115"/>
      <c r="K318" s="115"/>
      <c r="L318" s="115"/>
      <c r="M318" s="115"/>
      <c r="N318" s="98">
        <v>0.7</v>
      </c>
      <c r="O318" s="98">
        <f t="shared" si="73"/>
        <v>1.6379999999999999</v>
      </c>
      <c r="P318" s="115"/>
      <c r="Q318" s="115"/>
      <c r="R318" s="98">
        <f t="shared" si="74"/>
        <v>0</v>
      </c>
      <c r="S318" s="115"/>
      <c r="T318" s="115">
        <f t="shared" si="75"/>
        <v>0</v>
      </c>
      <c r="U318" s="115"/>
      <c r="V318" s="115"/>
      <c r="W318" s="115"/>
      <c r="X318" s="115">
        <v>0.22500000000000001</v>
      </c>
      <c r="Y318" s="98">
        <f t="shared" si="76"/>
        <v>0.52649999999999997</v>
      </c>
      <c r="Z318" s="98">
        <f t="shared" si="77"/>
        <v>12.178529999999999</v>
      </c>
      <c r="AA318" s="419"/>
    </row>
    <row r="319" spans="1:31" s="160" customFormat="1" ht="12.75" x14ac:dyDescent="0.45">
      <c r="A319" s="77"/>
      <c r="B319" s="166" t="s">
        <v>900</v>
      </c>
      <c r="C319" s="416">
        <v>1</v>
      </c>
      <c r="D319" s="416">
        <v>1</v>
      </c>
      <c r="E319" s="167">
        <f>E320</f>
        <v>9.1305000000000014</v>
      </c>
      <c r="F319" s="167">
        <f t="shared" ref="F319:Z319" si="78">F320</f>
        <v>3.66</v>
      </c>
      <c r="G319" s="167">
        <f t="shared" si="78"/>
        <v>4.6020000000000003</v>
      </c>
      <c r="H319" s="167">
        <f t="shared" si="78"/>
        <v>0.7</v>
      </c>
      <c r="I319" s="167">
        <f t="shared" si="78"/>
        <v>0.2</v>
      </c>
      <c r="J319" s="167">
        <f t="shared" si="78"/>
        <v>0</v>
      </c>
      <c r="K319" s="167">
        <f t="shared" si="78"/>
        <v>0</v>
      </c>
      <c r="L319" s="167">
        <f t="shared" si="78"/>
        <v>0.7</v>
      </c>
      <c r="M319" s="167">
        <f t="shared" si="78"/>
        <v>2.702</v>
      </c>
      <c r="N319" s="167">
        <f t="shared" si="78"/>
        <v>0</v>
      </c>
      <c r="O319" s="167">
        <f t="shared" si="78"/>
        <v>0</v>
      </c>
      <c r="P319" s="167">
        <f t="shared" si="78"/>
        <v>1</v>
      </c>
      <c r="Q319" s="167">
        <f t="shared" si="78"/>
        <v>0</v>
      </c>
      <c r="R319" s="167">
        <f t="shared" si="78"/>
        <v>0</v>
      </c>
      <c r="S319" s="167">
        <f t="shared" si="78"/>
        <v>0</v>
      </c>
      <c r="T319" s="167">
        <f t="shared" si="78"/>
        <v>0</v>
      </c>
      <c r="U319" s="167">
        <f t="shared" si="78"/>
        <v>0</v>
      </c>
      <c r="V319" s="167">
        <f t="shared" si="78"/>
        <v>0</v>
      </c>
      <c r="W319" s="167">
        <f t="shared" si="78"/>
        <v>0</v>
      </c>
      <c r="X319" s="167">
        <f t="shared" si="78"/>
        <v>0.22500000000000001</v>
      </c>
      <c r="Y319" s="167">
        <f t="shared" si="78"/>
        <v>0.86850000000000005</v>
      </c>
      <c r="Z319" s="167">
        <f t="shared" si="78"/>
        <v>21.365370000000002</v>
      </c>
      <c r="AA319" s="419"/>
      <c r="AB319" s="93">
        <f>E319*12*2.34</f>
        <v>256.38444000000004</v>
      </c>
      <c r="AC319" s="93">
        <f>F319*10%*2.34*12</f>
        <v>10.277280000000001</v>
      </c>
    </row>
    <row r="320" spans="1:31" s="61" customFormat="1" x14ac:dyDescent="0.45">
      <c r="A320" s="71" t="s">
        <v>593</v>
      </c>
      <c r="B320" s="18" t="s">
        <v>901</v>
      </c>
      <c r="C320" s="86"/>
      <c r="D320" s="86"/>
      <c r="E320" s="97">
        <f>F320+G320+Y320</f>
        <v>9.1305000000000014</v>
      </c>
      <c r="F320" s="115">
        <v>3.66</v>
      </c>
      <c r="G320" s="98">
        <f>H320+I320+K320+M320+O320+P320+R320+T320+V320+W320</f>
        <v>4.6020000000000003</v>
      </c>
      <c r="H320" s="98">
        <v>0.7</v>
      </c>
      <c r="I320" s="115">
        <v>0.2</v>
      </c>
      <c r="J320" s="115"/>
      <c r="K320" s="115"/>
      <c r="L320" s="115">
        <v>0.7</v>
      </c>
      <c r="M320" s="115">
        <f>L320*(F320+I320+K320)</f>
        <v>2.702</v>
      </c>
      <c r="N320" s="98"/>
      <c r="O320" s="98">
        <f>N320*(F320+I320+K320)</f>
        <v>0</v>
      </c>
      <c r="P320" s="115">
        <v>1</v>
      </c>
      <c r="Q320" s="115"/>
      <c r="R320" s="98">
        <f>Q320*(F320+I320+K320)</f>
        <v>0</v>
      </c>
      <c r="S320" s="115"/>
      <c r="T320" s="115">
        <f>S320*(F320+I320+K320)</f>
        <v>0</v>
      </c>
      <c r="U320" s="115"/>
      <c r="V320" s="115"/>
      <c r="W320" s="115"/>
      <c r="X320" s="115">
        <v>0.22500000000000001</v>
      </c>
      <c r="Y320" s="98">
        <f>X320*(F320+I320+K320+V320)</f>
        <v>0.86850000000000005</v>
      </c>
      <c r="Z320" s="98">
        <f>E320*2.34</f>
        <v>21.365370000000002</v>
      </c>
      <c r="AA320" s="96"/>
    </row>
    <row r="321" spans="1:29" ht="25.5" x14ac:dyDescent="0.45">
      <c r="A321" s="77" t="s">
        <v>184</v>
      </c>
      <c r="B321" s="31" t="s">
        <v>902</v>
      </c>
      <c r="C321" s="416">
        <f>C322</f>
        <v>35</v>
      </c>
      <c r="D321" s="416">
        <f t="shared" ref="D321:Z321" si="79">D322</f>
        <v>35</v>
      </c>
      <c r="E321" s="53">
        <f t="shared" si="79"/>
        <v>0</v>
      </c>
      <c r="F321" s="53">
        <f t="shared" si="79"/>
        <v>0</v>
      </c>
      <c r="G321" s="53">
        <f t="shared" si="79"/>
        <v>0</v>
      </c>
      <c r="H321" s="53">
        <f t="shared" si="79"/>
        <v>0</v>
      </c>
      <c r="I321" s="53">
        <f t="shared" si="79"/>
        <v>0</v>
      </c>
      <c r="J321" s="53">
        <f t="shared" si="79"/>
        <v>0</v>
      </c>
      <c r="K321" s="53">
        <f t="shared" si="79"/>
        <v>0</v>
      </c>
      <c r="L321" s="53">
        <f t="shared" si="79"/>
        <v>0</v>
      </c>
      <c r="M321" s="53">
        <f t="shared" si="79"/>
        <v>0</v>
      </c>
      <c r="N321" s="53">
        <f t="shared" si="79"/>
        <v>0</v>
      </c>
      <c r="O321" s="53">
        <f t="shared" si="79"/>
        <v>0</v>
      </c>
      <c r="P321" s="53">
        <f t="shared" si="79"/>
        <v>0</v>
      </c>
      <c r="Q321" s="53">
        <f t="shared" si="79"/>
        <v>0</v>
      </c>
      <c r="R321" s="53">
        <f t="shared" si="79"/>
        <v>0</v>
      </c>
      <c r="S321" s="53">
        <f t="shared" si="79"/>
        <v>0</v>
      </c>
      <c r="T321" s="53">
        <f t="shared" si="79"/>
        <v>0</v>
      </c>
      <c r="U321" s="53">
        <f t="shared" si="79"/>
        <v>0</v>
      </c>
      <c r="V321" s="53">
        <f t="shared" si="79"/>
        <v>0</v>
      </c>
      <c r="W321" s="53">
        <f t="shared" si="79"/>
        <v>0</v>
      </c>
      <c r="X321" s="53">
        <f t="shared" si="79"/>
        <v>0</v>
      </c>
      <c r="Y321" s="53">
        <f t="shared" si="79"/>
        <v>0</v>
      </c>
      <c r="Z321" s="53">
        <f t="shared" si="79"/>
        <v>24.569999999999997</v>
      </c>
      <c r="AA321" s="75"/>
    </row>
    <row r="322" spans="1:29" x14ac:dyDescent="0.45">
      <c r="A322" s="71"/>
      <c r="B322" s="429" t="s">
        <v>903</v>
      </c>
      <c r="C322" s="86">
        <v>35</v>
      </c>
      <c r="D322" s="86">
        <v>35</v>
      </c>
      <c r="E322" s="97"/>
      <c r="F322" s="430"/>
      <c r="G322" s="431"/>
      <c r="H322" s="431"/>
      <c r="I322" s="431"/>
      <c r="J322" s="431"/>
      <c r="K322" s="431"/>
      <c r="L322" s="431"/>
      <c r="M322" s="431"/>
      <c r="N322" s="431"/>
      <c r="O322" s="431"/>
      <c r="P322" s="431"/>
      <c r="Q322" s="431"/>
      <c r="R322" s="431"/>
      <c r="S322" s="431"/>
      <c r="T322" s="431"/>
      <c r="U322" s="431"/>
      <c r="V322" s="431"/>
      <c r="W322" s="431"/>
      <c r="X322" s="432"/>
      <c r="Y322" s="432"/>
      <c r="Z322" s="433">
        <f>C322*2.34*0.3</f>
        <v>24.569999999999997</v>
      </c>
      <c r="AA322" s="75"/>
      <c r="AB322" s="76">
        <f>Z322*12</f>
        <v>294.83999999999997</v>
      </c>
    </row>
    <row r="323" spans="1:29" ht="25.5" x14ac:dyDescent="0.45">
      <c r="A323" s="77" t="s">
        <v>248</v>
      </c>
      <c r="B323" s="31" t="s">
        <v>904</v>
      </c>
      <c r="C323" s="416">
        <f>C324</f>
        <v>24</v>
      </c>
      <c r="D323" s="416">
        <f t="shared" ref="D323:Z323" si="80">D324</f>
        <v>24</v>
      </c>
      <c r="E323" s="53">
        <f t="shared" si="80"/>
        <v>0</v>
      </c>
      <c r="F323" s="53">
        <f t="shared" si="80"/>
        <v>0</v>
      </c>
      <c r="G323" s="53">
        <f t="shared" si="80"/>
        <v>0</v>
      </c>
      <c r="H323" s="53">
        <f t="shared" si="80"/>
        <v>0</v>
      </c>
      <c r="I323" s="53">
        <f t="shared" si="80"/>
        <v>0</v>
      </c>
      <c r="J323" s="53">
        <f t="shared" si="80"/>
        <v>0</v>
      </c>
      <c r="K323" s="53">
        <f t="shared" si="80"/>
        <v>0</v>
      </c>
      <c r="L323" s="53">
        <f t="shared" si="80"/>
        <v>0</v>
      </c>
      <c r="M323" s="53">
        <f t="shared" si="80"/>
        <v>0</v>
      </c>
      <c r="N323" s="53">
        <f t="shared" si="80"/>
        <v>0</v>
      </c>
      <c r="O323" s="53">
        <f t="shared" si="80"/>
        <v>0</v>
      </c>
      <c r="P323" s="53">
        <f t="shared" si="80"/>
        <v>0</v>
      </c>
      <c r="Q323" s="53">
        <f t="shared" si="80"/>
        <v>0</v>
      </c>
      <c r="R323" s="53">
        <f t="shared" si="80"/>
        <v>0</v>
      </c>
      <c r="S323" s="53">
        <f t="shared" si="80"/>
        <v>0</v>
      </c>
      <c r="T323" s="53">
        <f t="shared" si="80"/>
        <v>0</v>
      </c>
      <c r="U323" s="53">
        <f t="shared" si="80"/>
        <v>0</v>
      </c>
      <c r="V323" s="53">
        <f t="shared" si="80"/>
        <v>0</v>
      </c>
      <c r="W323" s="53">
        <f t="shared" si="80"/>
        <v>0</v>
      </c>
      <c r="X323" s="53">
        <f t="shared" si="80"/>
        <v>0</v>
      </c>
      <c r="Y323" s="53">
        <f t="shared" si="80"/>
        <v>0</v>
      </c>
      <c r="Z323" s="53">
        <f t="shared" si="80"/>
        <v>22.464000000000002</v>
      </c>
      <c r="AA323" s="75"/>
    </row>
    <row r="324" spans="1:29" x14ac:dyDescent="0.45">
      <c r="A324" s="434"/>
      <c r="B324" s="435" t="s">
        <v>905</v>
      </c>
      <c r="C324" s="436">
        <v>24</v>
      </c>
      <c r="D324" s="436">
        <v>24</v>
      </c>
      <c r="E324" s="437"/>
      <c r="F324" s="438"/>
      <c r="G324" s="439"/>
      <c r="H324" s="440"/>
      <c r="I324" s="440"/>
      <c r="J324" s="440"/>
      <c r="K324" s="440"/>
      <c r="L324" s="440"/>
      <c r="M324" s="440"/>
      <c r="N324" s="440"/>
      <c r="O324" s="440"/>
      <c r="P324" s="440"/>
      <c r="Q324" s="440"/>
      <c r="R324" s="440"/>
      <c r="S324" s="440"/>
      <c r="T324" s="440"/>
      <c r="U324" s="440"/>
      <c r="V324" s="440"/>
      <c r="W324" s="440"/>
      <c r="X324" s="440"/>
      <c r="Y324" s="440"/>
      <c r="Z324" s="441">
        <f>C324*0.4*2.34</f>
        <v>22.464000000000002</v>
      </c>
      <c r="AA324" s="442"/>
      <c r="AB324" s="76">
        <f>Z324*12</f>
        <v>269.56800000000004</v>
      </c>
    </row>
    <row r="326" spans="1:29" x14ac:dyDescent="0.4">
      <c r="A326" s="521" t="s">
        <v>906</v>
      </c>
      <c r="B326" s="521"/>
      <c r="C326" s="521"/>
      <c r="D326" s="521"/>
      <c r="E326" s="521"/>
      <c r="F326" s="521"/>
      <c r="G326" s="521"/>
      <c r="H326" s="521"/>
      <c r="I326" s="521"/>
      <c r="J326" s="521"/>
      <c r="K326" s="521"/>
      <c r="L326" s="521"/>
      <c r="M326" s="521"/>
      <c r="N326" s="521"/>
      <c r="O326" s="521"/>
      <c r="P326" s="521"/>
      <c r="Q326" s="521"/>
      <c r="R326" s="521"/>
      <c r="S326" s="521"/>
      <c r="T326" s="521"/>
      <c r="U326" s="521"/>
      <c r="V326" s="521"/>
      <c r="W326" s="521"/>
      <c r="Z326" s="170"/>
    </row>
    <row r="327" spans="1:29" x14ac:dyDescent="0.45">
      <c r="B327" s="55"/>
      <c r="C327" s="70"/>
      <c r="D327" s="70"/>
      <c r="E327" s="70"/>
      <c r="F327" s="70"/>
      <c r="G327" s="70"/>
      <c r="H327" s="70"/>
      <c r="I327" s="70"/>
      <c r="J327" s="70"/>
      <c r="K327" s="70"/>
      <c r="L327" s="70"/>
      <c r="M327" s="70"/>
      <c r="N327" s="70"/>
      <c r="O327" s="70"/>
      <c r="P327" s="70"/>
      <c r="Q327" s="70"/>
      <c r="R327" s="70"/>
      <c r="S327" s="70"/>
      <c r="T327" s="70"/>
      <c r="U327" s="70"/>
      <c r="V327" s="70"/>
      <c r="W327" s="70"/>
      <c r="Z327" s="171"/>
    </row>
    <row r="328" spans="1:29" x14ac:dyDescent="0.45">
      <c r="B328" s="172"/>
      <c r="C328" s="173"/>
      <c r="D328" s="173"/>
      <c r="E328" s="173"/>
      <c r="F328" s="173"/>
      <c r="G328" s="173"/>
      <c r="H328" s="173"/>
      <c r="I328" s="173"/>
      <c r="J328" s="173"/>
      <c r="K328" s="173"/>
      <c r="L328" s="173"/>
      <c r="M328" s="173"/>
      <c r="N328" s="173"/>
      <c r="O328" s="173"/>
      <c r="P328" s="173"/>
      <c r="Q328" s="173"/>
      <c r="R328" s="173"/>
      <c r="S328" s="173"/>
      <c r="T328" s="173"/>
      <c r="U328" s="174"/>
      <c r="V328" s="174"/>
      <c r="Z328" s="175"/>
      <c r="AA328" s="176"/>
      <c r="AB328" s="176"/>
      <c r="AC328" s="176"/>
    </row>
    <row r="329" spans="1:29" x14ac:dyDescent="0.45">
      <c r="A329" s="177"/>
      <c r="B329" s="55"/>
      <c r="C329" s="177"/>
      <c r="D329" s="177"/>
      <c r="E329" s="177"/>
      <c r="F329" s="177"/>
      <c r="G329" s="177"/>
      <c r="H329" s="177"/>
      <c r="I329" s="177"/>
      <c r="J329" s="177"/>
      <c r="K329" s="177"/>
      <c r="L329" s="177"/>
      <c r="M329" s="177"/>
      <c r="N329" s="177"/>
      <c r="O329" s="177"/>
      <c r="P329" s="177"/>
      <c r="Q329" s="177"/>
      <c r="R329" s="177"/>
      <c r="S329" s="177"/>
      <c r="T329" s="177"/>
      <c r="U329" s="174"/>
      <c r="V329" s="174"/>
    </row>
    <row r="335" spans="1:29" x14ac:dyDescent="0.45">
      <c r="A335" s="55"/>
    </row>
    <row r="359" spans="1:1" x14ac:dyDescent="0.45">
      <c r="A359" s="55"/>
    </row>
    <row r="367" spans="1:1" x14ac:dyDescent="0.45">
      <c r="A367" s="55"/>
    </row>
    <row r="368" spans="1:1" x14ac:dyDescent="0.45">
      <c r="A368" s="55"/>
    </row>
    <row r="369" spans="1:1" x14ac:dyDescent="0.45">
      <c r="A369" s="55"/>
    </row>
  </sheetData>
  <protectedRanges>
    <protectedRange sqref="F166" name="Range1_10_1_2_2_6_1_1_1"/>
    <protectedRange sqref="U166 U170:U175" name="Range1_10_1_2_2_1_5_1_1_1"/>
  </protectedRanges>
  <mergeCells count="25">
    <mergeCell ref="A1:Z1"/>
    <mergeCell ref="A2:Z2"/>
    <mergeCell ref="A3:Z3"/>
    <mergeCell ref="A5:A7"/>
    <mergeCell ref="B5:B7"/>
    <mergeCell ref="C5:C7"/>
    <mergeCell ref="D5:D8"/>
    <mergeCell ref="E5:Y5"/>
    <mergeCell ref="Z5:Z8"/>
    <mergeCell ref="N7:O7"/>
    <mergeCell ref="A326:W326"/>
    <mergeCell ref="AA5:AA8"/>
    <mergeCell ref="E6:E8"/>
    <mergeCell ref="F6:F8"/>
    <mergeCell ref="H6:V6"/>
    <mergeCell ref="W6:W8"/>
    <mergeCell ref="X6:Y7"/>
    <mergeCell ref="H7:H8"/>
    <mergeCell ref="I7:I8"/>
    <mergeCell ref="J7:K7"/>
    <mergeCell ref="L7:M7"/>
    <mergeCell ref="P7:P8"/>
    <mergeCell ref="Q7:R7"/>
    <mergeCell ref="S7:T7"/>
    <mergeCell ref="U7:V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
  <sheetViews>
    <sheetView topLeftCell="D1" workbookViewId="0">
      <selection activeCell="H20" sqref="H20"/>
    </sheetView>
  </sheetViews>
  <sheetFormatPr defaultColWidth="9.1328125" defaultRowHeight="13.15" x14ac:dyDescent="0.4"/>
  <cols>
    <col min="1" max="1" width="4.86328125" style="299" customWidth="1"/>
    <col min="2" max="2" width="25.53125" style="299" customWidth="1"/>
    <col min="3" max="3" width="11" style="299" customWidth="1"/>
    <col min="4" max="5" width="9.1328125" style="299" customWidth="1"/>
    <col min="6" max="6" width="11.3984375" style="299" customWidth="1"/>
    <col min="7" max="7" width="11.1328125" style="299" customWidth="1"/>
    <col min="8" max="8" width="9.59765625" style="299" customWidth="1"/>
    <col min="9" max="9" width="10.59765625" style="299" customWidth="1"/>
    <col min="10" max="10" width="9.1328125" style="299" customWidth="1"/>
    <col min="11" max="11" width="10.3984375" style="299" hidden="1" customWidth="1"/>
    <col min="12" max="12" width="9.265625" style="299" customWidth="1"/>
    <col min="13" max="13" width="6.59765625" style="299" customWidth="1"/>
    <col min="14" max="14" width="8.3984375" style="299" customWidth="1"/>
    <col min="15" max="15" width="9.1328125" style="299" customWidth="1"/>
    <col min="16" max="16" width="8.1328125" style="299" customWidth="1"/>
    <col min="17" max="17" width="11.1328125" style="299" customWidth="1"/>
    <col min="18" max="18" width="9.3984375" style="299" customWidth="1"/>
    <col min="19" max="19" width="9.1328125" style="299" hidden="1" customWidth="1"/>
    <col min="20" max="20" width="8.3984375" style="299" customWidth="1"/>
    <col min="21" max="21" width="7.59765625" style="299" customWidth="1"/>
    <col min="22" max="22" width="8.265625" style="299" customWidth="1"/>
    <col min="23" max="23" width="9.1328125" style="299" customWidth="1"/>
    <col min="24" max="24" width="8.3984375" style="299" customWidth="1"/>
    <col min="25" max="26" width="8.3984375" style="299" hidden="1" customWidth="1"/>
    <col min="27" max="27" width="15.59765625" style="299" hidden="1" customWidth="1"/>
    <col min="28" max="28" width="11.86328125" style="299" hidden="1" customWidth="1"/>
    <col min="29" max="29" width="11" style="299" hidden="1" customWidth="1"/>
    <col min="30" max="30" width="10.3984375" style="299" hidden="1" customWidth="1"/>
    <col min="31" max="31" width="10.1328125" style="300" hidden="1" customWidth="1"/>
    <col min="32" max="32" width="12.265625" style="299" hidden="1" customWidth="1"/>
    <col min="33" max="33" width="12.3984375" style="299" hidden="1" customWidth="1"/>
    <col min="34" max="34" width="11.1328125" style="299" hidden="1" customWidth="1"/>
    <col min="35" max="35" width="9.1328125" style="299" hidden="1" customWidth="1"/>
    <col min="36" max="36" width="8.3984375" style="299" hidden="1" customWidth="1"/>
    <col min="37" max="37" width="9.1328125" style="299" hidden="1" customWidth="1"/>
    <col min="38" max="38" width="10.59765625" style="299" hidden="1" customWidth="1"/>
    <col min="39" max="39" width="9.1328125" style="299" hidden="1" customWidth="1"/>
    <col min="40" max="40" width="12.265625" style="299" hidden="1" customWidth="1"/>
    <col min="41" max="45" width="9.1328125" style="299" hidden="1" customWidth="1"/>
    <col min="46" max="47" width="9.1328125" style="299" customWidth="1"/>
    <col min="48" max="256" width="9.1328125" style="299"/>
    <col min="257" max="257" width="4.86328125" style="299" customWidth="1"/>
    <col min="258" max="258" width="26.86328125" style="299" customWidth="1"/>
    <col min="259" max="259" width="11" style="299" customWidth="1"/>
    <col min="260" max="261" width="9.1328125" style="299" customWidth="1"/>
    <col min="262" max="262" width="11.3984375" style="299" customWidth="1"/>
    <col min="263" max="263" width="11.1328125" style="299" customWidth="1"/>
    <col min="264" max="264" width="9.59765625" style="299" customWidth="1"/>
    <col min="265" max="265" width="10.59765625" style="299" customWidth="1"/>
    <col min="266" max="266" width="9.1328125" style="299" customWidth="1"/>
    <col min="267" max="267" width="0" style="299" hidden="1" customWidth="1"/>
    <col min="268" max="268" width="9.265625" style="299" customWidth="1"/>
    <col min="269" max="269" width="6.59765625" style="299" customWidth="1"/>
    <col min="270" max="270" width="8.3984375" style="299" customWidth="1"/>
    <col min="271" max="271" width="9.1328125" style="299" customWidth="1"/>
    <col min="272" max="272" width="8.1328125" style="299" customWidth="1"/>
    <col min="273" max="273" width="11.1328125" style="299" customWidth="1"/>
    <col min="274" max="274" width="9.3984375" style="299" customWidth="1"/>
    <col min="275" max="275" width="0" style="299" hidden="1" customWidth="1"/>
    <col min="276" max="276" width="8.3984375" style="299" customWidth="1"/>
    <col min="277" max="277" width="7.59765625" style="299" customWidth="1"/>
    <col min="278" max="278" width="8.265625" style="299" customWidth="1"/>
    <col min="279" max="279" width="9.1328125" style="299" customWidth="1"/>
    <col min="280" max="280" width="8.3984375" style="299" customWidth="1"/>
    <col min="281" max="301" width="0" style="299" hidden="1" customWidth="1"/>
    <col min="302" max="303" width="9.1328125" style="299" customWidth="1"/>
    <col min="304" max="512" width="9.1328125" style="299"/>
    <col min="513" max="513" width="4.86328125" style="299" customWidth="1"/>
    <col min="514" max="514" width="26.86328125" style="299" customWidth="1"/>
    <col min="515" max="515" width="11" style="299" customWidth="1"/>
    <col min="516" max="517" width="9.1328125" style="299" customWidth="1"/>
    <col min="518" max="518" width="11.3984375" style="299" customWidth="1"/>
    <col min="519" max="519" width="11.1328125" style="299" customWidth="1"/>
    <col min="520" max="520" width="9.59765625" style="299" customWidth="1"/>
    <col min="521" max="521" width="10.59765625" style="299" customWidth="1"/>
    <col min="522" max="522" width="9.1328125" style="299" customWidth="1"/>
    <col min="523" max="523" width="0" style="299" hidden="1" customWidth="1"/>
    <col min="524" max="524" width="9.265625" style="299" customWidth="1"/>
    <col min="525" max="525" width="6.59765625" style="299" customWidth="1"/>
    <col min="526" max="526" width="8.3984375" style="299" customWidth="1"/>
    <col min="527" max="527" width="9.1328125" style="299" customWidth="1"/>
    <col min="528" max="528" width="8.1328125" style="299" customWidth="1"/>
    <col min="529" max="529" width="11.1328125" style="299" customWidth="1"/>
    <col min="530" max="530" width="9.3984375" style="299" customWidth="1"/>
    <col min="531" max="531" width="0" style="299" hidden="1" customWidth="1"/>
    <col min="532" max="532" width="8.3984375" style="299" customWidth="1"/>
    <col min="533" max="533" width="7.59765625" style="299" customWidth="1"/>
    <col min="534" max="534" width="8.265625" style="299" customWidth="1"/>
    <col min="535" max="535" width="9.1328125" style="299" customWidth="1"/>
    <col min="536" max="536" width="8.3984375" style="299" customWidth="1"/>
    <col min="537" max="557" width="0" style="299" hidden="1" customWidth="1"/>
    <col min="558" max="559" width="9.1328125" style="299" customWidth="1"/>
    <col min="560" max="768" width="9.1328125" style="299"/>
    <col min="769" max="769" width="4.86328125" style="299" customWidth="1"/>
    <col min="770" max="770" width="26.86328125" style="299" customWidth="1"/>
    <col min="771" max="771" width="11" style="299" customWidth="1"/>
    <col min="772" max="773" width="9.1328125" style="299" customWidth="1"/>
    <col min="774" max="774" width="11.3984375" style="299" customWidth="1"/>
    <col min="775" max="775" width="11.1328125" style="299" customWidth="1"/>
    <col min="776" max="776" width="9.59765625" style="299" customWidth="1"/>
    <col min="777" max="777" width="10.59765625" style="299" customWidth="1"/>
    <col min="778" max="778" width="9.1328125" style="299" customWidth="1"/>
    <col min="779" max="779" width="0" style="299" hidden="1" customWidth="1"/>
    <col min="780" max="780" width="9.265625" style="299" customWidth="1"/>
    <col min="781" max="781" width="6.59765625" style="299" customWidth="1"/>
    <col min="782" max="782" width="8.3984375" style="299" customWidth="1"/>
    <col min="783" max="783" width="9.1328125" style="299" customWidth="1"/>
    <col min="784" max="784" width="8.1328125" style="299" customWidth="1"/>
    <col min="785" max="785" width="11.1328125" style="299" customWidth="1"/>
    <col min="786" max="786" width="9.3984375" style="299" customWidth="1"/>
    <col min="787" max="787" width="0" style="299" hidden="1" customWidth="1"/>
    <col min="788" max="788" width="8.3984375" style="299" customWidth="1"/>
    <col min="789" max="789" width="7.59765625" style="299" customWidth="1"/>
    <col min="790" max="790" width="8.265625" style="299" customWidth="1"/>
    <col min="791" max="791" width="9.1328125" style="299" customWidth="1"/>
    <col min="792" max="792" width="8.3984375" style="299" customWidth="1"/>
    <col min="793" max="813" width="0" style="299" hidden="1" customWidth="1"/>
    <col min="814" max="815" width="9.1328125" style="299" customWidth="1"/>
    <col min="816" max="1024" width="9.1328125" style="299"/>
    <col min="1025" max="1025" width="4.86328125" style="299" customWidth="1"/>
    <col min="1026" max="1026" width="26.86328125" style="299" customWidth="1"/>
    <col min="1027" max="1027" width="11" style="299" customWidth="1"/>
    <col min="1028" max="1029" width="9.1328125" style="299" customWidth="1"/>
    <col min="1030" max="1030" width="11.3984375" style="299" customWidth="1"/>
    <col min="1031" max="1031" width="11.1328125" style="299" customWidth="1"/>
    <col min="1032" max="1032" width="9.59765625" style="299" customWidth="1"/>
    <col min="1033" max="1033" width="10.59765625" style="299" customWidth="1"/>
    <col min="1034" max="1034" width="9.1328125" style="299" customWidth="1"/>
    <col min="1035" max="1035" width="0" style="299" hidden="1" customWidth="1"/>
    <col min="1036" max="1036" width="9.265625" style="299" customWidth="1"/>
    <col min="1037" max="1037" width="6.59765625" style="299" customWidth="1"/>
    <col min="1038" max="1038" width="8.3984375" style="299" customWidth="1"/>
    <col min="1039" max="1039" width="9.1328125" style="299" customWidth="1"/>
    <col min="1040" max="1040" width="8.1328125" style="299" customWidth="1"/>
    <col min="1041" max="1041" width="11.1328125" style="299" customWidth="1"/>
    <col min="1042" max="1042" width="9.3984375" style="299" customWidth="1"/>
    <col min="1043" max="1043" width="0" style="299" hidden="1" customWidth="1"/>
    <col min="1044" max="1044" width="8.3984375" style="299" customWidth="1"/>
    <col min="1045" max="1045" width="7.59765625" style="299" customWidth="1"/>
    <col min="1046" max="1046" width="8.265625" style="299" customWidth="1"/>
    <col min="1047" max="1047" width="9.1328125" style="299" customWidth="1"/>
    <col min="1048" max="1048" width="8.3984375" style="299" customWidth="1"/>
    <col min="1049" max="1069" width="0" style="299" hidden="1" customWidth="1"/>
    <col min="1070" max="1071" width="9.1328125" style="299" customWidth="1"/>
    <col min="1072" max="1280" width="9.1328125" style="299"/>
    <col min="1281" max="1281" width="4.86328125" style="299" customWidth="1"/>
    <col min="1282" max="1282" width="26.86328125" style="299" customWidth="1"/>
    <col min="1283" max="1283" width="11" style="299" customWidth="1"/>
    <col min="1284" max="1285" width="9.1328125" style="299" customWidth="1"/>
    <col min="1286" max="1286" width="11.3984375" style="299" customWidth="1"/>
    <col min="1287" max="1287" width="11.1328125" style="299" customWidth="1"/>
    <col min="1288" max="1288" width="9.59765625" style="299" customWidth="1"/>
    <col min="1289" max="1289" width="10.59765625" style="299" customWidth="1"/>
    <col min="1290" max="1290" width="9.1328125" style="299" customWidth="1"/>
    <col min="1291" max="1291" width="0" style="299" hidden="1" customWidth="1"/>
    <col min="1292" max="1292" width="9.265625" style="299" customWidth="1"/>
    <col min="1293" max="1293" width="6.59765625" style="299" customWidth="1"/>
    <col min="1294" max="1294" width="8.3984375" style="299" customWidth="1"/>
    <col min="1295" max="1295" width="9.1328125" style="299" customWidth="1"/>
    <col min="1296" max="1296" width="8.1328125" style="299" customWidth="1"/>
    <col min="1297" max="1297" width="11.1328125" style="299" customWidth="1"/>
    <col min="1298" max="1298" width="9.3984375" style="299" customWidth="1"/>
    <col min="1299" max="1299" width="0" style="299" hidden="1" customWidth="1"/>
    <col min="1300" max="1300" width="8.3984375" style="299" customWidth="1"/>
    <col min="1301" max="1301" width="7.59765625" style="299" customWidth="1"/>
    <col min="1302" max="1302" width="8.265625" style="299" customWidth="1"/>
    <col min="1303" max="1303" width="9.1328125" style="299" customWidth="1"/>
    <col min="1304" max="1304" width="8.3984375" style="299" customWidth="1"/>
    <col min="1305" max="1325" width="0" style="299" hidden="1" customWidth="1"/>
    <col min="1326" max="1327" width="9.1328125" style="299" customWidth="1"/>
    <col min="1328" max="1536" width="9.1328125" style="299"/>
    <col min="1537" max="1537" width="4.86328125" style="299" customWidth="1"/>
    <col min="1538" max="1538" width="26.86328125" style="299" customWidth="1"/>
    <col min="1539" max="1539" width="11" style="299" customWidth="1"/>
    <col min="1540" max="1541" width="9.1328125" style="299" customWidth="1"/>
    <col min="1542" max="1542" width="11.3984375" style="299" customWidth="1"/>
    <col min="1543" max="1543" width="11.1328125" style="299" customWidth="1"/>
    <col min="1544" max="1544" width="9.59765625" style="299" customWidth="1"/>
    <col min="1545" max="1545" width="10.59765625" style="299" customWidth="1"/>
    <col min="1546" max="1546" width="9.1328125" style="299" customWidth="1"/>
    <col min="1547" max="1547" width="0" style="299" hidden="1" customWidth="1"/>
    <col min="1548" max="1548" width="9.265625" style="299" customWidth="1"/>
    <col min="1549" max="1549" width="6.59765625" style="299" customWidth="1"/>
    <col min="1550" max="1550" width="8.3984375" style="299" customWidth="1"/>
    <col min="1551" max="1551" width="9.1328125" style="299" customWidth="1"/>
    <col min="1552" max="1552" width="8.1328125" style="299" customWidth="1"/>
    <col min="1553" max="1553" width="11.1328125" style="299" customWidth="1"/>
    <col min="1554" max="1554" width="9.3984375" style="299" customWidth="1"/>
    <col min="1555" max="1555" width="0" style="299" hidden="1" customWidth="1"/>
    <col min="1556" max="1556" width="8.3984375" style="299" customWidth="1"/>
    <col min="1557" max="1557" width="7.59765625" style="299" customWidth="1"/>
    <col min="1558" max="1558" width="8.265625" style="299" customWidth="1"/>
    <col min="1559" max="1559" width="9.1328125" style="299" customWidth="1"/>
    <col min="1560" max="1560" width="8.3984375" style="299" customWidth="1"/>
    <col min="1561" max="1581" width="0" style="299" hidden="1" customWidth="1"/>
    <col min="1582" max="1583" width="9.1328125" style="299" customWidth="1"/>
    <col min="1584" max="1792" width="9.1328125" style="299"/>
    <col min="1793" max="1793" width="4.86328125" style="299" customWidth="1"/>
    <col min="1794" max="1794" width="26.86328125" style="299" customWidth="1"/>
    <col min="1795" max="1795" width="11" style="299" customWidth="1"/>
    <col min="1796" max="1797" width="9.1328125" style="299" customWidth="1"/>
    <col min="1798" max="1798" width="11.3984375" style="299" customWidth="1"/>
    <col min="1799" max="1799" width="11.1328125" style="299" customWidth="1"/>
    <col min="1800" max="1800" width="9.59765625" style="299" customWidth="1"/>
    <col min="1801" max="1801" width="10.59765625" style="299" customWidth="1"/>
    <col min="1802" max="1802" width="9.1328125" style="299" customWidth="1"/>
    <col min="1803" max="1803" width="0" style="299" hidden="1" customWidth="1"/>
    <col min="1804" max="1804" width="9.265625" style="299" customWidth="1"/>
    <col min="1805" max="1805" width="6.59765625" style="299" customWidth="1"/>
    <col min="1806" max="1806" width="8.3984375" style="299" customWidth="1"/>
    <col min="1807" max="1807" width="9.1328125" style="299" customWidth="1"/>
    <col min="1808" max="1808" width="8.1328125" style="299" customWidth="1"/>
    <col min="1809" max="1809" width="11.1328125" style="299" customWidth="1"/>
    <col min="1810" max="1810" width="9.3984375" style="299" customWidth="1"/>
    <col min="1811" max="1811" width="0" style="299" hidden="1" customWidth="1"/>
    <col min="1812" max="1812" width="8.3984375" style="299" customWidth="1"/>
    <col min="1813" max="1813" width="7.59765625" style="299" customWidth="1"/>
    <col min="1814" max="1814" width="8.265625" style="299" customWidth="1"/>
    <col min="1815" max="1815" width="9.1328125" style="299" customWidth="1"/>
    <col min="1816" max="1816" width="8.3984375" style="299" customWidth="1"/>
    <col min="1817" max="1837" width="0" style="299" hidden="1" customWidth="1"/>
    <col min="1838" max="1839" width="9.1328125" style="299" customWidth="1"/>
    <col min="1840" max="2048" width="9.1328125" style="299"/>
    <col min="2049" max="2049" width="4.86328125" style="299" customWidth="1"/>
    <col min="2050" max="2050" width="26.86328125" style="299" customWidth="1"/>
    <col min="2051" max="2051" width="11" style="299" customWidth="1"/>
    <col min="2052" max="2053" width="9.1328125" style="299" customWidth="1"/>
    <col min="2054" max="2054" width="11.3984375" style="299" customWidth="1"/>
    <col min="2055" max="2055" width="11.1328125" style="299" customWidth="1"/>
    <col min="2056" max="2056" width="9.59765625" style="299" customWidth="1"/>
    <col min="2057" max="2057" width="10.59765625" style="299" customWidth="1"/>
    <col min="2058" max="2058" width="9.1328125" style="299" customWidth="1"/>
    <col min="2059" max="2059" width="0" style="299" hidden="1" customWidth="1"/>
    <col min="2060" max="2060" width="9.265625" style="299" customWidth="1"/>
    <col min="2061" max="2061" width="6.59765625" style="299" customWidth="1"/>
    <col min="2062" max="2062" width="8.3984375" style="299" customWidth="1"/>
    <col min="2063" max="2063" width="9.1328125" style="299" customWidth="1"/>
    <col min="2064" max="2064" width="8.1328125" style="299" customWidth="1"/>
    <col min="2065" max="2065" width="11.1328125" style="299" customWidth="1"/>
    <col min="2066" max="2066" width="9.3984375" style="299" customWidth="1"/>
    <col min="2067" max="2067" width="0" style="299" hidden="1" customWidth="1"/>
    <col min="2068" max="2068" width="8.3984375" style="299" customWidth="1"/>
    <col min="2069" max="2069" width="7.59765625" style="299" customWidth="1"/>
    <col min="2070" max="2070" width="8.265625" style="299" customWidth="1"/>
    <col min="2071" max="2071" width="9.1328125" style="299" customWidth="1"/>
    <col min="2072" max="2072" width="8.3984375" style="299" customWidth="1"/>
    <col min="2073" max="2093" width="0" style="299" hidden="1" customWidth="1"/>
    <col min="2094" max="2095" width="9.1328125" style="299" customWidth="1"/>
    <col min="2096" max="2304" width="9.1328125" style="299"/>
    <col min="2305" max="2305" width="4.86328125" style="299" customWidth="1"/>
    <col min="2306" max="2306" width="26.86328125" style="299" customWidth="1"/>
    <col min="2307" max="2307" width="11" style="299" customWidth="1"/>
    <col min="2308" max="2309" width="9.1328125" style="299" customWidth="1"/>
    <col min="2310" max="2310" width="11.3984375" style="299" customWidth="1"/>
    <col min="2311" max="2311" width="11.1328125" style="299" customWidth="1"/>
    <col min="2312" max="2312" width="9.59765625" style="299" customWidth="1"/>
    <col min="2313" max="2313" width="10.59765625" style="299" customWidth="1"/>
    <col min="2314" max="2314" width="9.1328125" style="299" customWidth="1"/>
    <col min="2315" max="2315" width="0" style="299" hidden="1" customWidth="1"/>
    <col min="2316" max="2316" width="9.265625" style="299" customWidth="1"/>
    <col min="2317" max="2317" width="6.59765625" style="299" customWidth="1"/>
    <col min="2318" max="2318" width="8.3984375" style="299" customWidth="1"/>
    <col min="2319" max="2319" width="9.1328125" style="299" customWidth="1"/>
    <col min="2320" max="2320" width="8.1328125" style="299" customWidth="1"/>
    <col min="2321" max="2321" width="11.1328125" style="299" customWidth="1"/>
    <col min="2322" max="2322" width="9.3984375" style="299" customWidth="1"/>
    <col min="2323" max="2323" width="0" style="299" hidden="1" customWidth="1"/>
    <col min="2324" max="2324" width="8.3984375" style="299" customWidth="1"/>
    <col min="2325" max="2325" width="7.59765625" style="299" customWidth="1"/>
    <col min="2326" max="2326" width="8.265625" style="299" customWidth="1"/>
    <col min="2327" max="2327" width="9.1328125" style="299" customWidth="1"/>
    <col min="2328" max="2328" width="8.3984375" style="299" customWidth="1"/>
    <col min="2329" max="2349" width="0" style="299" hidden="1" customWidth="1"/>
    <col min="2350" max="2351" width="9.1328125" style="299" customWidth="1"/>
    <col min="2352" max="2560" width="9.1328125" style="299"/>
    <col min="2561" max="2561" width="4.86328125" style="299" customWidth="1"/>
    <col min="2562" max="2562" width="26.86328125" style="299" customWidth="1"/>
    <col min="2563" max="2563" width="11" style="299" customWidth="1"/>
    <col min="2564" max="2565" width="9.1328125" style="299" customWidth="1"/>
    <col min="2566" max="2566" width="11.3984375" style="299" customWidth="1"/>
    <col min="2567" max="2567" width="11.1328125" style="299" customWidth="1"/>
    <col min="2568" max="2568" width="9.59765625" style="299" customWidth="1"/>
    <col min="2569" max="2569" width="10.59765625" style="299" customWidth="1"/>
    <col min="2570" max="2570" width="9.1328125" style="299" customWidth="1"/>
    <col min="2571" max="2571" width="0" style="299" hidden="1" customWidth="1"/>
    <col min="2572" max="2572" width="9.265625" style="299" customWidth="1"/>
    <col min="2573" max="2573" width="6.59765625" style="299" customWidth="1"/>
    <col min="2574" max="2574" width="8.3984375" style="299" customWidth="1"/>
    <col min="2575" max="2575" width="9.1328125" style="299" customWidth="1"/>
    <col min="2576" max="2576" width="8.1328125" style="299" customWidth="1"/>
    <col min="2577" max="2577" width="11.1328125" style="299" customWidth="1"/>
    <col min="2578" max="2578" width="9.3984375" style="299" customWidth="1"/>
    <col min="2579" max="2579" width="0" style="299" hidden="1" customWidth="1"/>
    <col min="2580" max="2580" width="8.3984375" style="299" customWidth="1"/>
    <col min="2581" max="2581" width="7.59765625" style="299" customWidth="1"/>
    <col min="2582" max="2582" width="8.265625" style="299" customWidth="1"/>
    <col min="2583" max="2583" width="9.1328125" style="299" customWidth="1"/>
    <col min="2584" max="2584" width="8.3984375" style="299" customWidth="1"/>
    <col min="2585" max="2605" width="0" style="299" hidden="1" customWidth="1"/>
    <col min="2606" max="2607" width="9.1328125" style="299" customWidth="1"/>
    <col min="2608" max="2816" width="9.1328125" style="299"/>
    <col min="2817" max="2817" width="4.86328125" style="299" customWidth="1"/>
    <col min="2818" max="2818" width="26.86328125" style="299" customWidth="1"/>
    <col min="2819" max="2819" width="11" style="299" customWidth="1"/>
    <col min="2820" max="2821" width="9.1328125" style="299" customWidth="1"/>
    <col min="2822" max="2822" width="11.3984375" style="299" customWidth="1"/>
    <col min="2823" max="2823" width="11.1328125" style="299" customWidth="1"/>
    <col min="2824" max="2824" width="9.59765625" style="299" customWidth="1"/>
    <col min="2825" max="2825" width="10.59765625" style="299" customWidth="1"/>
    <col min="2826" max="2826" width="9.1328125" style="299" customWidth="1"/>
    <col min="2827" max="2827" width="0" style="299" hidden="1" customWidth="1"/>
    <col min="2828" max="2828" width="9.265625" style="299" customWidth="1"/>
    <col min="2829" max="2829" width="6.59765625" style="299" customWidth="1"/>
    <col min="2830" max="2830" width="8.3984375" style="299" customWidth="1"/>
    <col min="2831" max="2831" width="9.1328125" style="299" customWidth="1"/>
    <col min="2832" max="2832" width="8.1328125" style="299" customWidth="1"/>
    <col min="2833" max="2833" width="11.1328125" style="299" customWidth="1"/>
    <col min="2834" max="2834" width="9.3984375" style="299" customWidth="1"/>
    <col min="2835" max="2835" width="0" style="299" hidden="1" customWidth="1"/>
    <col min="2836" max="2836" width="8.3984375" style="299" customWidth="1"/>
    <col min="2837" max="2837" width="7.59765625" style="299" customWidth="1"/>
    <col min="2838" max="2838" width="8.265625" style="299" customWidth="1"/>
    <col min="2839" max="2839" width="9.1328125" style="299" customWidth="1"/>
    <col min="2840" max="2840" width="8.3984375" style="299" customWidth="1"/>
    <col min="2841" max="2861" width="0" style="299" hidden="1" customWidth="1"/>
    <col min="2862" max="2863" width="9.1328125" style="299" customWidth="1"/>
    <col min="2864" max="3072" width="9.1328125" style="299"/>
    <col min="3073" max="3073" width="4.86328125" style="299" customWidth="1"/>
    <col min="3074" max="3074" width="26.86328125" style="299" customWidth="1"/>
    <col min="3075" max="3075" width="11" style="299" customWidth="1"/>
    <col min="3076" max="3077" width="9.1328125" style="299" customWidth="1"/>
    <col min="3078" max="3078" width="11.3984375" style="299" customWidth="1"/>
    <col min="3079" max="3079" width="11.1328125" style="299" customWidth="1"/>
    <col min="3080" max="3080" width="9.59765625" style="299" customWidth="1"/>
    <col min="3081" max="3081" width="10.59765625" style="299" customWidth="1"/>
    <col min="3082" max="3082" width="9.1328125" style="299" customWidth="1"/>
    <col min="3083" max="3083" width="0" style="299" hidden="1" customWidth="1"/>
    <col min="3084" max="3084" width="9.265625" style="299" customWidth="1"/>
    <col min="3085" max="3085" width="6.59765625" style="299" customWidth="1"/>
    <col min="3086" max="3086" width="8.3984375" style="299" customWidth="1"/>
    <col min="3087" max="3087" width="9.1328125" style="299" customWidth="1"/>
    <col min="3088" max="3088" width="8.1328125" style="299" customWidth="1"/>
    <col min="3089" max="3089" width="11.1328125" style="299" customWidth="1"/>
    <col min="3090" max="3090" width="9.3984375" style="299" customWidth="1"/>
    <col min="3091" max="3091" width="0" style="299" hidden="1" customWidth="1"/>
    <col min="3092" max="3092" width="8.3984375" style="299" customWidth="1"/>
    <col min="3093" max="3093" width="7.59765625" style="299" customWidth="1"/>
    <col min="3094" max="3094" width="8.265625" style="299" customWidth="1"/>
    <col min="3095" max="3095" width="9.1328125" style="299" customWidth="1"/>
    <col min="3096" max="3096" width="8.3984375" style="299" customWidth="1"/>
    <col min="3097" max="3117" width="0" style="299" hidden="1" customWidth="1"/>
    <col min="3118" max="3119" width="9.1328125" style="299" customWidth="1"/>
    <col min="3120" max="3328" width="9.1328125" style="299"/>
    <col min="3329" max="3329" width="4.86328125" style="299" customWidth="1"/>
    <col min="3330" max="3330" width="26.86328125" style="299" customWidth="1"/>
    <col min="3331" max="3331" width="11" style="299" customWidth="1"/>
    <col min="3332" max="3333" width="9.1328125" style="299" customWidth="1"/>
    <col min="3334" max="3334" width="11.3984375" style="299" customWidth="1"/>
    <col min="3335" max="3335" width="11.1328125" style="299" customWidth="1"/>
    <col min="3336" max="3336" width="9.59765625" style="299" customWidth="1"/>
    <col min="3337" max="3337" width="10.59765625" style="299" customWidth="1"/>
    <col min="3338" max="3338" width="9.1328125" style="299" customWidth="1"/>
    <col min="3339" max="3339" width="0" style="299" hidden="1" customWidth="1"/>
    <col min="3340" max="3340" width="9.265625" style="299" customWidth="1"/>
    <col min="3341" max="3341" width="6.59765625" style="299" customWidth="1"/>
    <col min="3342" max="3342" width="8.3984375" style="299" customWidth="1"/>
    <col min="3343" max="3343" width="9.1328125" style="299" customWidth="1"/>
    <col min="3344" max="3344" width="8.1328125" style="299" customWidth="1"/>
    <col min="3345" max="3345" width="11.1328125" style="299" customWidth="1"/>
    <col min="3346" max="3346" width="9.3984375" style="299" customWidth="1"/>
    <col min="3347" max="3347" width="0" style="299" hidden="1" customWidth="1"/>
    <col min="3348" max="3348" width="8.3984375" style="299" customWidth="1"/>
    <col min="3349" max="3349" width="7.59765625" style="299" customWidth="1"/>
    <col min="3350" max="3350" width="8.265625" style="299" customWidth="1"/>
    <col min="3351" max="3351" width="9.1328125" style="299" customWidth="1"/>
    <col min="3352" max="3352" width="8.3984375" style="299" customWidth="1"/>
    <col min="3353" max="3373" width="0" style="299" hidden="1" customWidth="1"/>
    <col min="3374" max="3375" width="9.1328125" style="299" customWidth="1"/>
    <col min="3376" max="3584" width="9.1328125" style="299"/>
    <col min="3585" max="3585" width="4.86328125" style="299" customWidth="1"/>
    <col min="3586" max="3586" width="26.86328125" style="299" customWidth="1"/>
    <col min="3587" max="3587" width="11" style="299" customWidth="1"/>
    <col min="3588" max="3589" width="9.1328125" style="299" customWidth="1"/>
    <col min="3590" max="3590" width="11.3984375" style="299" customWidth="1"/>
    <col min="3591" max="3591" width="11.1328125" style="299" customWidth="1"/>
    <col min="3592" max="3592" width="9.59765625" style="299" customWidth="1"/>
    <col min="3593" max="3593" width="10.59765625" style="299" customWidth="1"/>
    <col min="3594" max="3594" width="9.1328125" style="299" customWidth="1"/>
    <col min="3595" max="3595" width="0" style="299" hidden="1" customWidth="1"/>
    <col min="3596" max="3596" width="9.265625" style="299" customWidth="1"/>
    <col min="3597" max="3597" width="6.59765625" style="299" customWidth="1"/>
    <col min="3598" max="3598" width="8.3984375" style="299" customWidth="1"/>
    <col min="3599" max="3599" width="9.1328125" style="299" customWidth="1"/>
    <col min="3600" max="3600" width="8.1328125" style="299" customWidth="1"/>
    <col min="3601" max="3601" width="11.1328125" style="299" customWidth="1"/>
    <col min="3602" max="3602" width="9.3984375" style="299" customWidth="1"/>
    <col min="3603" max="3603" width="0" style="299" hidden="1" customWidth="1"/>
    <col min="3604" max="3604" width="8.3984375" style="299" customWidth="1"/>
    <col min="3605" max="3605" width="7.59765625" style="299" customWidth="1"/>
    <col min="3606" max="3606" width="8.265625" style="299" customWidth="1"/>
    <col min="3607" max="3607" width="9.1328125" style="299" customWidth="1"/>
    <col min="3608" max="3608" width="8.3984375" style="299" customWidth="1"/>
    <col min="3609" max="3629" width="0" style="299" hidden="1" customWidth="1"/>
    <col min="3630" max="3631" width="9.1328125" style="299" customWidth="1"/>
    <col min="3632" max="3840" width="9.1328125" style="299"/>
    <col min="3841" max="3841" width="4.86328125" style="299" customWidth="1"/>
    <col min="3842" max="3842" width="26.86328125" style="299" customWidth="1"/>
    <col min="3843" max="3843" width="11" style="299" customWidth="1"/>
    <col min="3844" max="3845" width="9.1328125" style="299" customWidth="1"/>
    <col min="3846" max="3846" width="11.3984375" style="299" customWidth="1"/>
    <col min="3847" max="3847" width="11.1328125" style="299" customWidth="1"/>
    <col min="3848" max="3848" width="9.59765625" style="299" customWidth="1"/>
    <col min="3849" max="3849" width="10.59765625" style="299" customWidth="1"/>
    <col min="3850" max="3850" width="9.1328125" style="299" customWidth="1"/>
    <col min="3851" max="3851" width="0" style="299" hidden="1" customWidth="1"/>
    <col min="3852" max="3852" width="9.265625" style="299" customWidth="1"/>
    <col min="3853" max="3853" width="6.59765625" style="299" customWidth="1"/>
    <col min="3854" max="3854" width="8.3984375" style="299" customWidth="1"/>
    <col min="3855" max="3855" width="9.1328125" style="299" customWidth="1"/>
    <col min="3856" max="3856" width="8.1328125" style="299" customWidth="1"/>
    <col min="3857" max="3857" width="11.1328125" style="299" customWidth="1"/>
    <col min="3858" max="3858" width="9.3984375" style="299" customWidth="1"/>
    <col min="3859" max="3859" width="0" style="299" hidden="1" customWidth="1"/>
    <col min="3860" max="3860" width="8.3984375" style="299" customWidth="1"/>
    <col min="3861" max="3861" width="7.59765625" style="299" customWidth="1"/>
    <col min="3862" max="3862" width="8.265625" style="299" customWidth="1"/>
    <col min="3863" max="3863" width="9.1328125" style="299" customWidth="1"/>
    <col min="3864" max="3864" width="8.3984375" style="299" customWidth="1"/>
    <col min="3865" max="3885" width="0" style="299" hidden="1" customWidth="1"/>
    <col min="3886" max="3887" width="9.1328125" style="299" customWidth="1"/>
    <col min="3888" max="4096" width="9.1328125" style="299"/>
    <col min="4097" max="4097" width="4.86328125" style="299" customWidth="1"/>
    <col min="4098" max="4098" width="26.86328125" style="299" customWidth="1"/>
    <col min="4099" max="4099" width="11" style="299" customWidth="1"/>
    <col min="4100" max="4101" width="9.1328125" style="299" customWidth="1"/>
    <col min="4102" max="4102" width="11.3984375" style="299" customWidth="1"/>
    <col min="4103" max="4103" width="11.1328125" style="299" customWidth="1"/>
    <col min="4104" max="4104" width="9.59765625" style="299" customWidth="1"/>
    <col min="4105" max="4105" width="10.59765625" style="299" customWidth="1"/>
    <col min="4106" max="4106" width="9.1328125" style="299" customWidth="1"/>
    <col min="4107" max="4107" width="0" style="299" hidden="1" customWidth="1"/>
    <col min="4108" max="4108" width="9.265625" style="299" customWidth="1"/>
    <col min="4109" max="4109" width="6.59765625" style="299" customWidth="1"/>
    <col min="4110" max="4110" width="8.3984375" style="299" customWidth="1"/>
    <col min="4111" max="4111" width="9.1328125" style="299" customWidth="1"/>
    <col min="4112" max="4112" width="8.1328125" style="299" customWidth="1"/>
    <col min="4113" max="4113" width="11.1328125" style="299" customWidth="1"/>
    <col min="4114" max="4114" width="9.3984375" style="299" customWidth="1"/>
    <col min="4115" max="4115" width="0" style="299" hidden="1" customWidth="1"/>
    <col min="4116" max="4116" width="8.3984375" style="299" customWidth="1"/>
    <col min="4117" max="4117" width="7.59765625" style="299" customWidth="1"/>
    <col min="4118" max="4118" width="8.265625" style="299" customWidth="1"/>
    <col min="4119" max="4119" width="9.1328125" style="299" customWidth="1"/>
    <col min="4120" max="4120" width="8.3984375" style="299" customWidth="1"/>
    <col min="4121" max="4141" width="0" style="299" hidden="1" customWidth="1"/>
    <col min="4142" max="4143" width="9.1328125" style="299" customWidth="1"/>
    <col min="4144" max="4352" width="9.1328125" style="299"/>
    <col min="4353" max="4353" width="4.86328125" style="299" customWidth="1"/>
    <col min="4354" max="4354" width="26.86328125" style="299" customWidth="1"/>
    <col min="4355" max="4355" width="11" style="299" customWidth="1"/>
    <col min="4356" max="4357" width="9.1328125" style="299" customWidth="1"/>
    <col min="4358" max="4358" width="11.3984375" style="299" customWidth="1"/>
    <col min="4359" max="4359" width="11.1328125" style="299" customWidth="1"/>
    <col min="4360" max="4360" width="9.59765625" style="299" customWidth="1"/>
    <col min="4361" max="4361" width="10.59765625" style="299" customWidth="1"/>
    <col min="4362" max="4362" width="9.1328125" style="299" customWidth="1"/>
    <col min="4363" max="4363" width="0" style="299" hidden="1" customWidth="1"/>
    <col min="4364" max="4364" width="9.265625" style="299" customWidth="1"/>
    <col min="4365" max="4365" width="6.59765625" style="299" customWidth="1"/>
    <col min="4366" max="4366" width="8.3984375" style="299" customWidth="1"/>
    <col min="4367" max="4367" width="9.1328125" style="299" customWidth="1"/>
    <col min="4368" max="4368" width="8.1328125" style="299" customWidth="1"/>
    <col min="4369" max="4369" width="11.1328125" style="299" customWidth="1"/>
    <col min="4370" max="4370" width="9.3984375" style="299" customWidth="1"/>
    <col min="4371" max="4371" width="0" style="299" hidden="1" customWidth="1"/>
    <col min="4372" max="4372" width="8.3984375" style="299" customWidth="1"/>
    <col min="4373" max="4373" width="7.59765625" style="299" customWidth="1"/>
    <col min="4374" max="4374" width="8.265625" style="299" customWidth="1"/>
    <col min="4375" max="4375" width="9.1328125" style="299" customWidth="1"/>
    <col min="4376" max="4376" width="8.3984375" style="299" customWidth="1"/>
    <col min="4377" max="4397" width="0" style="299" hidden="1" customWidth="1"/>
    <col min="4398" max="4399" width="9.1328125" style="299" customWidth="1"/>
    <col min="4400" max="4608" width="9.1328125" style="299"/>
    <col min="4609" max="4609" width="4.86328125" style="299" customWidth="1"/>
    <col min="4610" max="4610" width="26.86328125" style="299" customWidth="1"/>
    <col min="4611" max="4611" width="11" style="299" customWidth="1"/>
    <col min="4612" max="4613" width="9.1328125" style="299" customWidth="1"/>
    <col min="4614" max="4614" width="11.3984375" style="299" customWidth="1"/>
    <col min="4615" max="4615" width="11.1328125" style="299" customWidth="1"/>
    <col min="4616" max="4616" width="9.59765625" style="299" customWidth="1"/>
    <col min="4617" max="4617" width="10.59765625" style="299" customWidth="1"/>
    <col min="4618" max="4618" width="9.1328125" style="299" customWidth="1"/>
    <col min="4619" max="4619" width="0" style="299" hidden="1" customWidth="1"/>
    <col min="4620" max="4620" width="9.265625" style="299" customWidth="1"/>
    <col min="4621" max="4621" width="6.59765625" style="299" customWidth="1"/>
    <col min="4622" max="4622" width="8.3984375" style="299" customWidth="1"/>
    <col min="4623" max="4623" width="9.1328125" style="299" customWidth="1"/>
    <col min="4624" max="4624" width="8.1328125" style="299" customWidth="1"/>
    <col min="4625" max="4625" width="11.1328125" style="299" customWidth="1"/>
    <col min="4626" max="4626" width="9.3984375" style="299" customWidth="1"/>
    <col min="4627" max="4627" width="0" style="299" hidden="1" customWidth="1"/>
    <col min="4628" max="4628" width="8.3984375" style="299" customWidth="1"/>
    <col min="4629" max="4629" width="7.59765625" style="299" customWidth="1"/>
    <col min="4630" max="4630" width="8.265625" style="299" customWidth="1"/>
    <col min="4631" max="4631" width="9.1328125" style="299" customWidth="1"/>
    <col min="4632" max="4632" width="8.3984375" style="299" customWidth="1"/>
    <col min="4633" max="4653" width="0" style="299" hidden="1" customWidth="1"/>
    <col min="4654" max="4655" width="9.1328125" style="299" customWidth="1"/>
    <col min="4656" max="4864" width="9.1328125" style="299"/>
    <col min="4865" max="4865" width="4.86328125" style="299" customWidth="1"/>
    <col min="4866" max="4866" width="26.86328125" style="299" customWidth="1"/>
    <col min="4867" max="4867" width="11" style="299" customWidth="1"/>
    <col min="4868" max="4869" width="9.1328125" style="299" customWidth="1"/>
    <col min="4870" max="4870" width="11.3984375" style="299" customWidth="1"/>
    <col min="4871" max="4871" width="11.1328125" style="299" customWidth="1"/>
    <col min="4872" max="4872" width="9.59765625" style="299" customWidth="1"/>
    <col min="4873" max="4873" width="10.59765625" style="299" customWidth="1"/>
    <col min="4874" max="4874" width="9.1328125" style="299" customWidth="1"/>
    <col min="4875" max="4875" width="0" style="299" hidden="1" customWidth="1"/>
    <col min="4876" max="4876" width="9.265625" style="299" customWidth="1"/>
    <col min="4877" max="4877" width="6.59765625" style="299" customWidth="1"/>
    <col min="4878" max="4878" width="8.3984375" style="299" customWidth="1"/>
    <col min="4879" max="4879" width="9.1328125" style="299" customWidth="1"/>
    <col min="4880" max="4880" width="8.1328125" style="299" customWidth="1"/>
    <col min="4881" max="4881" width="11.1328125" style="299" customWidth="1"/>
    <col min="4882" max="4882" width="9.3984375" style="299" customWidth="1"/>
    <col min="4883" max="4883" width="0" style="299" hidden="1" customWidth="1"/>
    <col min="4884" max="4884" width="8.3984375" style="299" customWidth="1"/>
    <col min="4885" max="4885" width="7.59765625" style="299" customWidth="1"/>
    <col min="4886" max="4886" width="8.265625" style="299" customWidth="1"/>
    <col min="4887" max="4887" width="9.1328125" style="299" customWidth="1"/>
    <col min="4888" max="4888" width="8.3984375" style="299" customWidth="1"/>
    <col min="4889" max="4909" width="0" style="299" hidden="1" customWidth="1"/>
    <col min="4910" max="4911" width="9.1328125" style="299" customWidth="1"/>
    <col min="4912" max="5120" width="9.1328125" style="299"/>
    <col min="5121" max="5121" width="4.86328125" style="299" customWidth="1"/>
    <col min="5122" max="5122" width="26.86328125" style="299" customWidth="1"/>
    <col min="5123" max="5123" width="11" style="299" customWidth="1"/>
    <col min="5124" max="5125" width="9.1328125" style="299" customWidth="1"/>
    <col min="5126" max="5126" width="11.3984375" style="299" customWidth="1"/>
    <col min="5127" max="5127" width="11.1328125" style="299" customWidth="1"/>
    <col min="5128" max="5128" width="9.59765625" style="299" customWidth="1"/>
    <col min="5129" max="5129" width="10.59765625" style="299" customWidth="1"/>
    <col min="5130" max="5130" width="9.1328125" style="299" customWidth="1"/>
    <col min="5131" max="5131" width="0" style="299" hidden="1" customWidth="1"/>
    <col min="5132" max="5132" width="9.265625" style="299" customWidth="1"/>
    <col min="5133" max="5133" width="6.59765625" style="299" customWidth="1"/>
    <col min="5134" max="5134" width="8.3984375" style="299" customWidth="1"/>
    <col min="5135" max="5135" width="9.1328125" style="299" customWidth="1"/>
    <col min="5136" max="5136" width="8.1328125" style="299" customWidth="1"/>
    <col min="5137" max="5137" width="11.1328125" style="299" customWidth="1"/>
    <col min="5138" max="5138" width="9.3984375" style="299" customWidth="1"/>
    <col min="5139" max="5139" width="0" style="299" hidden="1" customWidth="1"/>
    <col min="5140" max="5140" width="8.3984375" style="299" customWidth="1"/>
    <col min="5141" max="5141" width="7.59765625" style="299" customWidth="1"/>
    <col min="5142" max="5142" width="8.265625" style="299" customWidth="1"/>
    <col min="5143" max="5143" width="9.1328125" style="299" customWidth="1"/>
    <col min="5144" max="5144" width="8.3984375" style="299" customWidth="1"/>
    <col min="5145" max="5165" width="0" style="299" hidden="1" customWidth="1"/>
    <col min="5166" max="5167" width="9.1328125" style="299" customWidth="1"/>
    <col min="5168" max="5376" width="9.1328125" style="299"/>
    <col min="5377" max="5377" width="4.86328125" style="299" customWidth="1"/>
    <col min="5378" max="5378" width="26.86328125" style="299" customWidth="1"/>
    <col min="5379" max="5379" width="11" style="299" customWidth="1"/>
    <col min="5380" max="5381" width="9.1328125" style="299" customWidth="1"/>
    <col min="5382" max="5382" width="11.3984375" style="299" customWidth="1"/>
    <col min="5383" max="5383" width="11.1328125" style="299" customWidth="1"/>
    <col min="5384" max="5384" width="9.59765625" style="299" customWidth="1"/>
    <col min="5385" max="5385" width="10.59765625" style="299" customWidth="1"/>
    <col min="5386" max="5386" width="9.1328125" style="299" customWidth="1"/>
    <col min="5387" max="5387" width="0" style="299" hidden="1" customWidth="1"/>
    <col min="5388" max="5388" width="9.265625" style="299" customWidth="1"/>
    <col min="5389" max="5389" width="6.59765625" style="299" customWidth="1"/>
    <col min="5390" max="5390" width="8.3984375" style="299" customWidth="1"/>
    <col min="5391" max="5391" width="9.1328125" style="299" customWidth="1"/>
    <col min="5392" max="5392" width="8.1328125" style="299" customWidth="1"/>
    <col min="5393" max="5393" width="11.1328125" style="299" customWidth="1"/>
    <col min="5394" max="5394" width="9.3984375" style="299" customWidth="1"/>
    <col min="5395" max="5395" width="0" style="299" hidden="1" customWidth="1"/>
    <col min="5396" max="5396" width="8.3984375" style="299" customWidth="1"/>
    <col min="5397" max="5397" width="7.59765625" style="299" customWidth="1"/>
    <col min="5398" max="5398" width="8.265625" style="299" customWidth="1"/>
    <col min="5399" max="5399" width="9.1328125" style="299" customWidth="1"/>
    <col min="5400" max="5400" width="8.3984375" style="299" customWidth="1"/>
    <col min="5401" max="5421" width="0" style="299" hidden="1" customWidth="1"/>
    <col min="5422" max="5423" width="9.1328125" style="299" customWidth="1"/>
    <col min="5424" max="5632" width="9.1328125" style="299"/>
    <col min="5633" max="5633" width="4.86328125" style="299" customWidth="1"/>
    <col min="5634" max="5634" width="26.86328125" style="299" customWidth="1"/>
    <col min="5635" max="5635" width="11" style="299" customWidth="1"/>
    <col min="5636" max="5637" width="9.1328125" style="299" customWidth="1"/>
    <col min="5638" max="5638" width="11.3984375" style="299" customWidth="1"/>
    <col min="5639" max="5639" width="11.1328125" style="299" customWidth="1"/>
    <col min="5640" max="5640" width="9.59765625" style="299" customWidth="1"/>
    <col min="5641" max="5641" width="10.59765625" style="299" customWidth="1"/>
    <col min="5642" max="5642" width="9.1328125" style="299" customWidth="1"/>
    <col min="5643" max="5643" width="0" style="299" hidden="1" customWidth="1"/>
    <col min="5644" max="5644" width="9.265625" style="299" customWidth="1"/>
    <col min="5645" max="5645" width="6.59765625" style="299" customWidth="1"/>
    <col min="5646" max="5646" width="8.3984375" style="299" customWidth="1"/>
    <col min="5647" max="5647" width="9.1328125" style="299" customWidth="1"/>
    <col min="5648" max="5648" width="8.1328125" style="299" customWidth="1"/>
    <col min="5649" max="5649" width="11.1328125" style="299" customWidth="1"/>
    <col min="5650" max="5650" width="9.3984375" style="299" customWidth="1"/>
    <col min="5651" max="5651" width="0" style="299" hidden="1" customWidth="1"/>
    <col min="5652" max="5652" width="8.3984375" style="299" customWidth="1"/>
    <col min="5653" max="5653" width="7.59765625" style="299" customWidth="1"/>
    <col min="5654" max="5654" width="8.265625" style="299" customWidth="1"/>
    <col min="5655" max="5655" width="9.1328125" style="299" customWidth="1"/>
    <col min="5656" max="5656" width="8.3984375" style="299" customWidth="1"/>
    <col min="5657" max="5677" width="0" style="299" hidden="1" customWidth="1"/>
    <col min="5678" max="5679" width="9.1328125" style="299" customWidth="1"/>
    <col min="5680" max="5888" width="9.1328125" style="299"/>
    <col min="5889" max="5889" width="4.86328125" style="299" customWidth="1"/>
    <col min="5890" max="5890" width="26.86328125" style="299" customWidth="1"/>
    <col min="5891" max="5891" width="11" style="299" customWidth="1"/>
    <col min="5892" max="5893" width="9.1328125" style="299" customWidth="1"/>
    <col min="5894" max="5894" width="11.3984375" style="299" customWidth="1"/>
    <col min="5895" max="5895" width="11.1328125" style="299" customWidth="1"/>
    <col min="5896" max="5896" width="9.59765625" style="299" customWidth="1"/>
    <col min="5897" max="5897" width="10.59765625" style="299" customWidth="1"/>
    <col min="5898" max="5898" width="9.1328125" style="299" customWidth="1"/>
    <col min="5899" max="5899" width="0" style="299" hidden="1" customWidth="1"/>
    <col min="5900" max="5900" width="9.265625" style="299" customWidth="1"/>
    <col min="5901" max="5901" width="6.59765625" style="299" customWidth="1"/>
    <col min="5902" max="5902" width="8.3984375" style="299" customWidth="1"/>
    <col min="5903" max="5903" width="9.1328125" style="299" customWidth="1"/>
    <col min="5904" max="5904" width="8.1328125" style="299" customWidth="1"/>
    <col min="5905" max="5905" width="11.1328125" style="299" customWidth="1"/>
    <col min="5906" max="5906" width="9.3984375" style="299" customWidth="1"/>
    <col min="5907" max="5907" width="0" style="299" hidden="1" customWidth="1"/>
    <col min="5908" max="5908" width="8.3984375" style="299" customWidth="1"/>
    <col min="5909" max="5909" width="7.59765625" style="299" customWidth="1"/>
    <col min="5910" max="5910" width="8.265625" style="299" customWidth="1"/>
    <col min="5911" max="5911" width="9.1328125" style="299" customWidth="1"/>
    <col min="5912" max="5912" width="8.3984375" style="299" customWidth="1"/>
    <col min="5913" max="5933" width="0" style="299" hidden="1" customWidth="1"/>
    <col min="5934" max="5935" width="9.1328125" style="299" customWidth="1"/>
    <col min="5936" max="6144" width="9.1328125" style="299"/>
    <col min="6145" max="6145" width="4.86328125" style="299" customWidth="1"/>
    <col min="6146" max="6146" width="26.86328125" style="299" customWidth="1"/>
    <col min="6147" max="6147" width="11" style="299" customWidth="1"/>
    <col min="6148" max="6149" width="9.1328125" style="299" customWidth="1"/>
    <col min="6150" max="6150" width="11.3984375" style="299" customWidth="1"/>
    <col min="6151" max="6151" width="11.1328125" style="299" customWidth="1"/>
    <col min="6152" max="6152" width="9.59765625" style="299" customWidth="1"/>
    <col min="6153" max="6153" width="10.59765625" style="299" customWidth="1"/>
    <col min="6154" max="6154" width="9.1328125" style="299" customWidth="1"/>
    <col min="6155" max="6155" width="0" style="299" hidden="1" customWidth="1"/>
    <col min="6156" max="6156" width="9.265625" style="299" customWidth="1"/>
    <col min="6157" max="6157" width="6.59765625" style="299" customWidth="1"/>
    <col min="6158" max="6158" width="8.3984375" style="299" customWidth="1"/>
    <col min="6159" max="6159" width="9.1328125" style="299" customWidth="1"/>
    <col min="6160" max="6160" width="8.1328125" style="299" customWidth="1"/>
    <col min="6161" max="6161" width="11.1328125" style="299" customWidth="1"/>
    <col min="6162" max="6162" width="9.3984375" style="299" customWidth="1"/>
    <col min="6163" max="6163" width="0" style="299" hidden="1" customWidth="1"/>
    <col min="6164" max="6164" width="8.3984375" style="299" customWidth="1"/>
    <col min="6165" max="6165" width="7.59765625" style="299" customWidth="1"/>
    <col min="6166" max="6166" width="8.265625" style="299" customWidth="1"/>
    <col min="6167" max="6167" width="9.1328125" style="299" customWidth="1"/>
    <col min="6168" max="6168" width="8.3984375" style="299" customWidth="1"/>
    <col min="6169" max="6189" width="0" style="299" hidden="1" customWidth="1"/>
    <col min="6190" max="6191" width="9.1328125" style="299" customWidth="1"/>
    <col min="6192" max="6400" width="9.1328125" style="299"/>
    <col min="6401" max="6401" width="4.86328125" style="299" customWidth="1"/>
    <col min="6402" max="6402" width="26.86328125" style="299" customWidth="1"/>
    <col min="6403" max="6403" width="11" style="299" customWidth="1"/>
    <col min="6404" max="6405" width="9.1328125" style="299" customWidth="1"/>
    <col min="6406" max="6406" width="11.3984375" style="299" customWidth="1"/>
    <col min="6407" max="6407" width="11.1328125" style="299" customWidth="1"/>
    <col min="6408" max="6408" width="9.59765625" style="299" customWidth="1"/>
    <col min="6409" max="6409" width="10.59765625" style="299" customWidth="1"/>
    <col min="6410" max="6410" width="9.1328125" style="299" customWidth="1"/>
    <col min="6411" max="6411" width="0" style="299" hidden="1" customWidth="1"/>
    <col min="6412" max="6412" width="9.265625" style="299" customWidth="1"/>
    <col min="6413" max="6413" width="6.59765625" style="299" customWidth="1"/>
    <col min="6414" max="6414" width="8.3984375" style="299" customWidth="1"/>
    <col min="6415" max="6415" width="9.1328125" style="299" customWidth="1"/>
    <col min="6416" max="6416" width="8.1328125" style="299" customWidth="1"/>
    <col min="6417" max="6417" width="11.1328125" style="299" customWidth="1"/>
    <col min="6418" max="6418" width="9.3984375" style="299" customWidth="1"/>
    <col min="6419" max="6419" width="0" style="299" hidden="1" customWidth="1"/>
    <col min="6420" max="6420" width="8.3984375" style="299" customWidth="1"/>
    <col min="6421" max="6421" width="7.59765625" style="299" customWidth="1"/>
    <col min="6422" max="6422" width="8.265625" style="299" customWidth="1"/>
    <col min="6423" max="6423" width="9.1328125" style="299" customWidth="1"/>
    <col min="6424" max="6424" width="8.3984375" style="299" customWidth="1"/>
    <col min="6425" max="6445" width="0" style="299" hidden="1" customWidth="1"/>
    <col min="6446" max="6447" width="9.1328125" style="299" customWidth="1"/>
    <col min="6448" max="6656" width="9.1328125" style="299"/>
    <col min="6657" max="6657" width="4.86328125" style="299" customWidth="1"/>
    <col min="6658" max="6658" width="26.86328125" style="299" customWidth="1"/>
    <col min="6659" max="6659" width="11" style="299" customWidth="1"/>
    <col min="6660" max="6661" width="9.1328125" style="299" customWidth="1"/>
    <col min="6662" max="6662" width="11.3984375" style="299" customWidth="1"/>
    <col min="6663" max="6663" width="11.1328125" style="299" customWidth="1"/>
    <col min="6664" max="6664" width="9.59765625" style="299" customWidth="1"/>
    <col min="6665" max="6665" width="10.59765625" style="299" customWidth="1"/>
    <col min="6666" max="6666" width="9.1328125" style="299" customWidth="1"/>
    <col min="6667" max="6667" width="0" style="299" hidden="1" customWidth="1"/>
    <col min="6668" max="6668" width="9.265625" style="299" customWidth="1"/>
    <col min="6669" max="6669" width="6.59765625" style="299" customWidth="1"/>
    <col min="6670" max="6670" width="8.3984375" style="299" customWidth="1"/>
    <col min="6671" max="6671" width="9.1328125" style="299" customWidth="1"/>
    <col min="6672" max="6672" width="8.1328125" style="299" customWidth="1"/>
    <col min="6673" max="6673" width="11.1328125" style="299" customWidth="1"/>
    <col min="6674" max="6674" width="9.3984375" style="299" customWidth="1"/>
    <col min="6675" max="6675" width="0" style="299" hidden="1" customWidth="1"/>
    <col min="6676" max="6676" width="8.3984375" style="299" customWidth="1"/>
    <col min="6677" max="6677" width="7.59765625" style="299" customWidth="1"/>
    <col min="6678" max="6678" width="8.265625" style="299" customWidth="1"/>
    <col min="6679" max="6679" width="9.1328125" style="299" customWidth="1"/>
    <col min="6680" max="6680" width="8.3984375" style="299" customWidth="1"/>
    <col min="6681" max="6701" width="0" style="299" hidden="1" customWidth="1"/>
    <col min="6702" max="6703" width="9.1328125" style="299" customWidth="1"/>
    <col min="6704" max="6912" width="9.1328125" style="299"/>
    <col min="6913" max="6913" width="4.86328125" style="299" customWidth="1"/>
    <col min="6914" max="6914" width="26.86328125" style="299" customWidth="1"/>
    <col min="6915" max="6915" width="11" style="299" customWidth="1"/>
    <col min="6916" max="6917" width="9.1328125" style="299" customWidth="1"/>
    <col min="6918" max="6918" width="11.3984375" style="299" customWidth="1"/>
    <col min="6919" max="6919" width="11.1328125" style="299" customWidth="1"/>
    <col min="6920" max="6920" width="9.59765625" style="299" customWidth="1"/>
    <col min="6921" max="6921" width="10.59765625" style="299" customWidth="1"/>
    <col min="6922" max="6922" width="9.1328125" style="299" customWidth="1"/>
    <col min="6923" max="6923" width="0" style="299" hidden="1" customWidth="1"/>
    <col min="6924" max="6924" width="9.265625" style="299" customWidth="1"/>
    <col min="6925" max="6925" width="6.59765625" style="299" customWidth="1"/>
    <col min="6926" max="6926" width="8.3984375" style="299" customWidth="1"/>
    <col min="6927" max="6927" width="9.1328125" style="299" customWidth="1"/>
    <col min="6928" max="6928" width="8.1328125" style="299" customWidth="1"/>
    <col min="6929" max="6929" width="11.1328125" style="299" customWidth="1"/>
    <col min="6930" max="6930" width="9.3984375" style="299" customWidth="1"/>
    <col min="6931" max="6931" width="0" style="299" hidden="1" customWidth="1"/>
    <col min="6932" max="6932" width="8.3984375" style="299" customWidth="1"/>
    <col min="6933" max="6933" width="7.59765625" style="299" customWidth="1"/>
    <col min="6934" max="6934" width="8.265625" style="299" customWidth="1"/>
    <col min="6935" max="6935" width="9.1328125" style="299" customWidth="1"/>
    <col min="6936" max="6936" width="8.3984375" style="299" customWidth="1"/>
    <col min="6937" max="6957" width="0" style="299" hidden="1" customWidth="1"/>
    <col min="6958" max="6959" width="9.1328125" style="299" customWidth="1"/>
    <col min="6960" max="7168" width="9.1328125" style="299"/>
    <col min="7169" max="7169" width="4.86328125" style="299" customWidth="1"/>
    <col min="7170" max="7170" width="26.86328125" style="299" customWidth="1"/>
    <col min="7171" max="7171" width="11" style="299" customWidth="1"/>
    <col min="7172" max="7173" width="9.1328125" style="299" customWidth="1"/>
    <col min="7174" max="7174" width="11.3984375" style="299" customWidth="1"/>
    <col min="7175" max="7175" width="11.1328125" style="299" customWidth="1"/>
    <col min="7176" max="7176" width="9.59765625" style="299" customWidth="1"/>
    <col min="7177" max="7177" width="10.59765625" style="299" customWidth="1"/>
    <col min="7178" max="7178" width="9.1328125" style="299" customWidth="1"/>
    <col min="7179" max="7179" width="0" style="299" hidden="1" customWidth="1"/>
    <col min="7180" max="7180" width="9.265625" style="299" customWidth="1"/>
    <col min="7181" max="7181" width="6.59765625" style="299" customWidth="1"/>
    <col min="7182" max="7182" width="8.3984375" style="299" customWidth="1"/>
    <col min="7183" max="7183" width="9.1328125" style="299" customWidth="1"/>
    <col min="7184" max="7184" width="8.1328125" style="299" customWidth="1"/>
    <col min="7185" max="7185" width="11.1328125" style="299" customWidth="1"/>
    <col min="7186" max="7186" width="9.3984375" style="299" customWidth="1"/>
    <col min="7187" max="7187" width="0" style="299" hidden="1" customWidth="1"/>
    <col min="7188" max="7188" width="8.3984375" style="299" customWidth="1"/>
    <col min="7189" max="7189" width="7.59765625" style="299" customWidth="1"/>
    <col min="7190" max="7190" width="8.265625" style="299" customWidth="1"/>
    <col min="7191" max="7191" width="9.1328125" style="299" customWidth="1"/>
    <col min="7192" max="7192" width="8.3984375" style="299" customWidth="1"/>
    <col min="7193" max="7213" width="0" style="299" hidden="1" customWidth="1"/>
    <col min="7214" max="7215" width="9.1328125" style="299" customWidth="1"/>
    <col min="7216" max="7424" width="9.1328125" style="299"/>
    <col min="7425" max="7425" width="4.86328125" style="299" customWidth="1"/>
    <col min="7426" max="7426" width="26.86328125" style="299" customWidth="1"/>
    <col min="7427" max="7427" width="11" style="299" customWidth="1"/>
    <col min="7428" max="7429" width="9.1328125" style="299" customWidth="1"/>
    <col min="7430" max="7430" width="11.3984375" style="299" customWidth="1"/>
    <col min="7431" max="7431" width="11.1328125" style="299" customWidth="1"/>
    <col min="7432" max="7432" width="9.59765625" style="299" customWidth="1"/>
    <col min="7433" max="7433" width="10.59765625" style="299" customWidth="1"/>
    <col min="7434" max="7434" width="9.1328125" style="299" customWidth="1"/>
    <col min="7435" max="7435" width="0" style="299" hidden="1" customWidth="1"/>
    <col min="7436" max="7436" width="9.265625" style="299" customWidth="1"/>
    <col min="7437" max="7437" width="6.59765625" style="299" customWidth="1"/>
    <col min="7438" max="7438" width="8.3984375" style="299" customWidth="1"/>
    <col min="7439" max="7439" width="9.1328125" style="299" customWidth="1"/>
    <col min="7440" max="7440" width="8.1328125" style="299" customWidth="1"/>
    <col min="7441" max="7441" width="11.1328125" style="299" customWidth="1"/>
    <col min="7442" max="7442" width="9.3984375" style="299" customWidth="1"/>
    <col min="7443" max="7443" width="0" style="299" hidden="1" customWidth="1"/>
    <col min="7444" max="7444" width="8.3984375" style="299" customWidth="1"/>
    <col min="7445" max="7445" width="7.59765625" style="299" customWidth="1"/>
    <col min="7446" max="7446" width="8.265625" style="299" customWidth="1"/>
    <col min="7447" max="7447" width="9.1328125" style="299" customWidth="1"/>
    <col min="7448" max="7448" width="8.3984375" style="299" customWidth="1"/>
    <col min="7449" max="7469" width="0" style="299" hidden="1" customWidth="1"/>
    <col min="7470" max="7471" width="9.1328125" style="299" customWidth="1"/>
    <col min="7472" max="7680" width="9.1328125" style="299"/>
    <col min="7681" max="7681" width="4.86328125" style="299" customWidth="1"/>
    <col min="7682" max="7682" width="26.86328125" style="299" customWidth="1"/>
    <col min="7683" max="7683" width="11" style="299" customWidth="1"/>
    <col min="7684" max="7685" width="9.1328125" style="299" customWidth="1"/>
    <col min="7686" max="7686" width="11.3984375" style="299" customWidth="1"/>
    <col min="7687" max="7687" width="11.1328125" style="299" customWidth="1"/>
    <col min="7688" max="7688" width="9.59765625" style="299" customWidth="1"/>
    <col min="7689" max="7689" width="10.59765625" style="299" customWidth="1"/>
    <col min="7690" max="7690" width="9.1328125" style="299" customWidth="1"/>
    <col min="7691" max="7691" width="0" style="299" hidden="1" customWidth="1"/>
    <col min="7692" max="7692" width="9.265625" style="299" customWidth="1"/>
    <col min="7693" max="7693" width="6.59765625" style="299" customWidth="1"/>
    <col min="7694" max="7694" width="8.3984375" style="299" customWidth="1"/>
    <col min="7695" max="7695" width="9.1328125" style="299" customWidth="1"/>
    <col min="7696" max="7696" width="8.1328125" style="299" customWidth="1"/>
    <col min="7697" max="7697" width="11.1328125" style="299" customWidth="1"/>
    <col min="7698" max="7698" width="9.3984375" style="299" customWidth="1"/>
    <col min="7699" max="7699" width="0" style="299" hidden="1" customWidth="1"/>
    <col min="7700" max="7700" width="8.3984375" style="299" customWidth="1"/>
    <col min="7701" max="7701" width="7.59765625" style="299" customWidth="1"/>
    <col min="7702" max="7702" width="8.265625" style="299" customWidth="1"/>
    <col min="7703" max="7703" width="9.1328125" style="299" customWidth="1"/>
    <col min="7704" max="7704" width="8.3984375" style="299" customWidth="1"/>
    <col min="7705" max="7725" width="0" style="299" hidden="1" customWidth="1"/>
    <col min="7726" max="7727" width="9.1328125" style="299" customWidth="1"/>
    <col min="7728" max="7936" width="9.1328125" style="299"/>
    <col min="7937" max="7937" width="4.86328125" style="299" customWidth="1"/>
    <col min="7938" max="7938" width="26.86328125" style="299" customWidth="1"/>
    <col min="7939" max="7939" width="11" style="299" customWidth="1"/>
    <col min="7940" max="7941" width="9.1328125" style="299" customWidth="1"/>
    <col min="7942" max="7942" width="11.3984375" style="299" customWidth="1"/>
    <col min="7943" max="7943" width="11.1328125" style="299" customWidth="1"/>
    <col min="7944" max="7944" width="9.59765625" style="299" customWidth="1"/>
    <col min="7945" max="7945" width="10.59765625" style="299" customWidth="1"/>
    <col min="7946" max="7946" width="9.1328125" style="299" customWidth="1"/>
    <col min="7947" max="7947" width="0" style="299" hidden="1" customWidth="1"/>
    <col min="7948" max="7948" width="9.265625" style="299" customWidth="1"/>
    <col min="7949" max="7949" width="6.59765625" style="299" customWidth="1"/>
    <col min="7950" max="7950" width="8.3984375" style="299" customWidth="1"/>
    <col min="7951" max="7951" width="9.1328125" style="299" customWidth="1"/>
    <col min="7952" max="7952" width="8.1328125" style="299" customWidth="1"/>
    <col min="7953" max="7953" width="11.1328125" style="299" customWidth="1"/>
    <col min="7954" max="7954" width="9.3984375" style="299" customWidth="1"/>
    <col min="7955" max="7955" width="0" style="299" hidden="1" customWidth="1"/>
    <col min="7956" max="7956" width="8.3984375" style="299" customWidth="1"/>
    <col min="7957" max="7957" width="7.59765625" style="299" customWidth="1"/>
    <col min="7958" max="7958" width="8.265625" style="299" customWidth="1"/>
    <col min="7959" max="7959" width="9.1328125" style="299" customWidth="1"/>
    <col min="7960" max="7960" width="8.3984375" style="299" customWidth="1"/>
    <col min="7961" max="7981" width="0" style="299" hidden="1" customWidth="1"/>
    <col min="7982" max="7983" width="9.1328125" style="299" customWidth="1"/>
    <col min="7984" max="8192" width="9.1328125" style="299"/>
    <col min="8193" max="8193" width="4.86328125" style="299" customWidth="1"/>
    <col min="8194" max="8194" width="26.86328125" style="299" customWidth="1"/>
    <col min="8195" max="8195" width="11" style="299" customWidth="1"/>
    <col min="8196" max="8197" width="9.1328125" style="299" customWidth="1"/>
    <col min="8198" max="8198" width="11.3984375" style="299" customWidth="1"/>
    <col min="8199" max="8199" width="11.1328125" style="299" customWidth="1"/>
    <col min="8200" max="8200" width="9.59765625" style="299" customWidth="1"/>
    <col min="8201" max="8201" width="10.59765625" style="299" customWidth="1"/>
    <col min="8202" max="8202" width="9.1328125" style="299" customWidth="1"/>
    <col min="8203" max="8203" width="0" style="299" hidden="1" customWidth="1"/>
    <col min="8204" max="8204" width="9.265625" style="299" customWidth="1"/>
    <col min="8205" max="8205" width="6.59765625" style="299" customWidth="1"/>
    <col min="8206" max="8206" width="8.3984375" style="299" customWidth="1"/>
    <col min="8207" max="8207" width="9.1328125" style="299" customWidth="1"/>
    <col min="8208" max="8208" width="8.1328125" style="299" customWidth="1"/>
    <col min="8209" max="8209" width="11.1328125" style="299" customWidth="1"/>
    <col min="8210" max="8210" width="9.3984375" style="299" customWidth="1"/>
    <col min="8211" max="8211" width="0" style="299" hidden="1" customWidth="1"/>
    <col min="8212" max="8212" width="8.3984375" style="299" customWidth="1"/>
    <col min="8213" max="8213" width="7.59765625" style="299" customWidth="1"/>
    <col min="8214" max="8214" width="8.265625" style="299" customWidth="1"/>
    <col min="8215" max="8215" width="9.1328125" style="299" customWidth="1"/>
    <col min="8216" max="8216" width="8.3984375" style="299" customWidth="1"/>
    <col min="8217" max="8237" width="0" style="299" hidden="1" customWidth="1"/>
    <col min="8238" max="8239" width="9.1328125" style="299" customWidth="1"/>
    <col min="8240" max="8448" width="9.1328125" style="299"/>
    <col min="8449" max="8449" width="4.86328125" style="299" customWidth="1"/>
    <col min="8450" max="8450" width="26.86328125" style="299" customWidth="1"/>
    <col min="8451" max="8451" width="11" style="299" customWidth="1"/>
    <col min="8452" max="8453" width="9.1328125" style="299" customWidth="1"/>
    <col min="8454" max="8454" width="11.3984375" style="299" customWidth="1"/>
    <col min="8455" max="8455" width="11.1328125" style="299" customWidth="1"/>
    <col min="8456" max="8456" width="9.59765625" style="299" customWidth="1"/>
    <col min="8457" max="8457" width="10.59765625" style="299" customWidth="1"/>
    <col min="8458" max="8458" width="9.1328125" style="299" customWidth="1"/>
    <col min="8459" max="8459" width="0" style="299" hidden="1" customWidth="1"/>
    <col min="8460" max="8460" width="9.265625" style="299" customWidth="1"/>
    <col min="8461" max="8461" width="6.59765625" style="299" customWidth="1"/>
    <col min="8462" max="8462" width="8.3984375" style="299" customWidth="1"/>
    <col min="8463" max="8463" width="9.1328125" style="299" customWidth="1"/>
    <col min="8464" max="8464" width="8.1328125" style="299" customWidth="1"/>
    <col min="8465" max="8465" width="11.1328125" style="299" customWidth="1"/>
    <col min="8466" max="8466" width="9.3984375" style="299" customWidth="1"/>
    <col min="8467" max="8467" width="0" style="299" hidden="1" customWidth="1"/>
    <col min="8468" max="8468" width="8.3984375" style="299" customWidth="1"/>
    <col min="8469" max="8469" width="7.59765625" style="299" customWidth="1"/>
    <col min="8470" max="8470" width="8.265625" style="299" customWidth="1"/>
    <col min="8471" max="8471" width="9.1328125" style="299" customWidth="1"/>
    <col min="8472" max="8472" width="8.3984375" style="299" customWidth="1"/>
    <col min="8473" max="8493" width="0" style="299" hidden="1" customWidth="1"/>
    <col min="8494" max="8495" width="9.1328125" style="299" customWidth="1"/>
    <col min="8496" max="8704" width="9.1328125" style="299"/>
    <col min="8705" max="8705" width="4.86328125" style="299" customWidth="1"/>
    <col min="8706" max="8706" width="26.86328125" style="299" customWidth="1"/>
    <col min="8707" max="8707" width="11" style="299" customWidth="1"/>
    <col min="8708" max="8709" width="9.1328125" style="299" customWidth="1"/>
    <col min="8710" max="8710" width="11.3984375" style="299" customWidth="1"/>
    <col min="8711" max="8711" width="11.1328125" style="299" customWidth="1"/>
    <col min="8712" max="8712" width="9.59765625" style="299" customWidth="1"/>
    <col min="8713" max="8713" width="10.59765625" style="299" customWidth="1"/>
    <col min="8714" max="8714" width="9.1328125" style="299" customWidth="1"/>
    <col min="8715" max="8715" width="0" style="299" hidden="1" customWidth="1"/>
    <col min="8716" max="8716" width="9.265625" style="299" customWidth="1"/>
    <col min="8717" max="8717" width="6.59765625" style="299" customWidth="1"/>
    <col min="8718" max="8718" width="8.3984375" style="299" customWidth="1"/>
    <col min="8719" max="8719" width="9.1328125" style="299" customWidth="1"/>
    <col min="8720" max="8720" width="8.1328125" style="299" customWidth="1"/>
    <col min="8721" max="8721" width="11.1328125" style="299" customWidth="1"/>
    <col min="8722" max="8722" width="9.3984375" style="299" customWidth="1"/>
    <col min="8723" max="8723" width="0" style="299" hidden="1" customWidth="1"/>
    <col min="8724" max="8724" width="8.3984375" style="299" customWidth="1"/>
    <col min="8725" max="8725" width="7.59765625" style="299" customWidth="1"/>
    <col min="8726" max="8726" width="8.265625" style="299" customWidth="1"/>
    <col min="8727" max="8727" width="9.1328125" style="299" customWidth="1"/>
    <col min="8728" max="8728" width="8.3984375" style="299" customWidth="1"/>
    <col min="8729" max="8749" width="0" style="299" hidden="1" customWidth="1"/>
    <col min="8750" max="8751" width="9.1328125" style="299" customWidth="1"/>
    <col min="8752" max="8960" width="9.1328125" style="299"/>
    <col min="8961" max="8961" width="4.86328125" style="299" customWidth="1"/>
    <col min="8962" max="8962" width="26.86328125" style="299" customWidth="1"/>
    <col min="8963" max="8963" width="11" style="299" customWidth="1"/>
    <col min="8964" max="8965" width="9.1328125" style="299" customWidth="1"/>
    <col min="8966" max="8966" width="11.3984375" style="299" customWidth="1"/>
    <col min="8967" max="8967" width="11.1328125" style="299" customWidth="1"/>
    <col min="8968" max="8968" width="9.59765625" style="299" customWidth="1"/>
    <col min="8969" max="8969" width="10.59765625" style="299" customWidth="1"/>
    <col min="8970" max="8970" width="9.1328125" style="299" customWidth="1"/>
    <col min="8971" max="8971" width="0" style="299" hidden="1" customWidth="1"/>
    <col min="8972" max="8972" width="9.265625" style="299" customWidth="1"/>
    <col min="8973" max="8973" width="6.59765625" style="299" customWidth="1"/>
    <col min="8974" max="8974" width="8.3984375" style="299" customWidth="1"/>
    <col min="8975" max="8975" width="9.1328125" style="299" customWidth="1"/>
    <col min="8976" max="8976" width="8.1328125" style="299" customWidth="1"/>
    <col min="8977" max="8977" width="11.1328125" style="299" customWidth="1"/>
    <col min="8978" max="8978" width="9.3984375" style="299" customWidth="1"/>
    <col min="8979" max="8979" width="0" style="299" hidden="1" customWidth="1"/>
    <col min="8980" max="8980" width="8.3984375" style="299" customWidth="1"/>
    <col min="8981" max="8981" width="7.59765625" style="299" customWidth="1"/>
    <col min="8982" max="8982" width="8.265625" style="299" customWidth="1"/>
    <col min="8983" max="8983" width="9.1328125" style="299" customWidth="1"/>
    <col min="8984" max="8984" width="8.3984375" style="299" customWidth="1"/>
    <col min="8985" max="9005" width="0" style="299" hidden="1" customWidth="1"/>
    <col min="9006" max="9007" width="9.1328125" style="299" customWidth="1"/>
    <col min="9008" max="9216" width="9.1328125" style="299"/>
    <col min="9217" max="9217" width="4.86328125" style="299" customWidth="1"/>
    <col min="9218" max="9218" width="26.86328125" style="299" customWidth="1"/>
    <col min="9219" max="9219" width="11" style="299" customWidth="1"/>
    <col min="9220" max="9221" width="9.1328125" style="299" customWidth="1"/>
    <col min="9222" max="9222" width="11.3984375" style="299" customWidth="1"/>
    <col min="9223" max="9223" width="11.1328125" style="299" customWidth="1"/>
    <col min="9224" max="9224" width="9.59765625" style="299" customWidth="1"/>
    <col min="9225" max="9225" width="10.59765625" style="299" customWidth="1"/>
    <col min="9226" max="9226" width="9.1328125" style="299" customWidth="1"/>
    <col min="9227" max="9227" width="0" style="299" hidden="1" customWidth="1"/>
    <col min="9228" max="9228" width="9.265625" style="299" customWidth="1"/>
    <col min="9229" max="9229" width="6.59765625" style="299" customWidth="1"/>
    <col min="9230" max="9230" width="8.3984375" style="299" customWidth="1"/>
    <col min="9231" max="9231" width="9.1328125" style="299" customWidth="1"/>
    <col min="9232" max="9232" width="8.1328125" style="299" customWidth="1"/>
    <col min="9233" max="9233" width="11.1328125" style="299" customWidth="1"/>
    <col min="9234" max="9234" width="9.3984375" style="299" customWidth="1"/>
    <col min="9235" max="9235" width="0" style="299" hidden="1" customWidth="1"/>
    <col min="9236" max="9236" width="8.3984375" style="299" customWidth="1"/>
    <col min="9237" max="9237" width="7.59765625" style="299" customWidth="1"/>
    <col min="9238" max="9238" width="8.265625" style="299" customWidth="1"/>
    <col min="9239" max="9239" width="9.1328125" style="299" customWidth="1"/>
    <col min="9240" max="9240" width="8.3984375" style="299" customWidth="1"/>
    <col min="9241" max="9261" width="0" style="299" hidden="1" customWidth="1"/>
    <col min="9262" max="9263" width="9.1328125" style="299" customWidth="1"/>
    <col min="9264" max="9472" width="9.1328125" style="299"/>
    <col min="9473" max="9473" width="4.86328125" style="299" customWidth="1"/>
    <col min="9474" max="9474" width="26.86328125" style="299" customWidth="1"/>
    <col min="9475" max="9475" width="11" style="299" customWidth="1"/>
    <col min="9476" max="9477" width="9.1328125" style="299" customWidth="1"/>
    <col min="9478" max="9478" width="11.3984375" style="299" customWidth="1"/>
    <col min="9479" max="9479" width="11.1328125" style="299" customWidth="1"/>
    <col min="9480" max="9480" width="9.59765625" style="299" customWidth="1"/>
    <col min="9481" max="9481" width="10.59765625" style="299" customWidth="1"/>
    <col min="9482" max="9482" width="9.1328125" style="299" customWidth="1"/>
    <col min="9483" max="9483" width="0" style="299" hidden="1" customWidth="1"/>
    <col min="9484" max="9484" width="9.265625" style="299" customWidth="1"/>
    <col min="9485" max="9485" width="6.59765625" style="299" customWidth="1"/>
    <col min="9486" max="9486" width="8.3984375" style="299" customWidth="1"/>
    <col min="9487" max="9487" width="9.1328125" style="299" customWidth="1"/>
    <col min="9488" max="9488" width="8.1328125" style="299" customWidth="1"/>
    <col min="9489" max="9489" width="11.1328125" style="299" customWidth="1"/>
    <col min="9490" max="9490" width="9.3984375" style="299" customWidth="1"/>
    <col min="9491" max="9491" width="0" style="299" hidden="1" customWidth="1"/>
    <col min="9492" max="9492" width="8.3984375" style="299" customWidth="1"/>
    <col min="9493" max="9493" width="7.59765625" style="299" customWidth="1"/>
    <col min="9494" max="9494" width="8.265625" style="299" customWidth="1"/>
    <col min="9495" max="9495" width="9.1328125" style="299" customWidth="1"/>
    <col min="9496" max="9496" width="8.3984375" style="299" customWidth="1"/>
    <col min="9497" max="9517" width="0" style="299" hidden="1" customWidth="1"/>
    <col min="9518" max="9519" width="9.1328125" style="299" customWidth="1"/>
    <col min="9520" max="9728" width="9.1328125" style="299"/>
    <col min="9729" max="9729" width="4.86328125" style="299" customWidth="1"/>
    <col min="9730" max="9730" width="26.86328125" style="299" customWidth="1"/>
    <col min="9731" max="9731" width="11" style="299" customWidth="1"/>
    <col min="9732" max="9733" width="9.1328125" style="299" customWidth="1"/>
    <col min="9734" max="9734" width="11.3984375" style="299" customWidth="1"/>
    <col min="9735" max="9735" width="11.1328125" style="299" customWidth="1"/>
    <col min="9736" max="9736" width="9.59765625" style="299" customWidth="1"/>
    <col min="9737" max="9737" width="10.59765625" style="299" customWidth="1"/>
    <col min="9738" max="9738" width="9.1328125" style="299" customWidth="1"/>
    <col min="9739" max="9739" width="0" style="299" hidden="1" customWidth="1"/>
    <col min="9740" max="9740" width="9.265625" style="299" customWidth="1"/>
    <col min="9741" max="9741" width="6.59765625" style="299" customWidth="1"/>
    <col min="9742" max="9742" width="8.3984375" style="299" customWidth="1"/>
    <col min="9743" max="9743" width="9.1328125" style="299" customWidth="1"/>
    <col min="9744" max="9744" width="8.1328125" style="299" customWidth="1"/>
    <col min="9745" max="9745" width="11.1328125" style="299" customWidth="1"/>
    <col min="9746" max="9746" width="9.3984375" style="299" customWidth="1"/>
    <col min="9747" max="9747" width="0" style="299" hidden="1" customWidth="1"/>
    <col min="9748" max="9748" width="8.3984375" style="299" customWidth="1"/>
    <col min="9749" max="9749" width="7.59765625" style="299" customWidth="1"/>
    <col min="9750" max="9750" width="8.265625" style="299" customWidth="1"/>
    <col min="9751" max="9751" width="9.1328125" style="299" customWidth="1"/>
    <col min="9752" max="9752" width="8.3984375" style="299" customWidth="1"/>
    <col min="9753" max="9773" width="0" style="299" hidden="1" customWidth="1"/>
    <col min="9774" max="9775" width="9.1328125" style="299" customWidth="1"/>
    <col min="9776" max="9984" width="9.1328125" style="299"/>
    <col min="9985" max="9985" width="4.86328125" style="299" customWidth="1"/>
    <col min="9986" max="9986" width="26.86328125" style="299" customWidth="1"/>
    <col min="9987" max="9987" width="11" style="299" customWidth="1"/>
    <col min="9988" max="9989" width="9.1328125" style="299" customWidth="1"/>
    <col min="9990" max="9990" width="11.3984375" style="299" customWidth="1"/>
    <col min="9991" max="9991" width="11.1328125" style="299" customWidth="1"/>
    <col min="9992" max="9992" width="9.59765625" style="299" customWidth="1"/>
    <col min="9993" max="9993" width="10.59765625" style="299" customWidth="1"/>
    <col min="9994" max="9994" width="9.1328125" style="299" customWidth="1"/>
    <col min="9995" max="9995" width="0" style="299" hidden="1" customWidth="1"/>
    <col min="9996" max="9996" width="9.265625" style="299" customWidth="1"/>
    <col min="9997" max="9997" width="6.59765625" style="299" customWidth="1"/>
    <col min="9998" max="9998" width="8.3984375" style="299" customWidth="1"/>
    <col min="9999" max="9999" width="9.1328125" style="299" customWidth="1"/>
    <col min="10000" max="10000" width="8.1328125" style="299" customWidth="1"/>
    <col min="10001" max="10001" width="11.1328125" style="299" customWidth="1"/>
    <col min="10002" max="10002" width="9.3984375" style="299" customWidth="1"/>
    <col min="10003" max="10003" width="0" style="299" hidden="1" customWidth="1"/>
    <col min="10004" max="10004" width="8.3984375" style="299" customWidth="1"/>
    <col min="10005" max="10005" width="7.59765625" style="299" customWidth="1"/>
    <col min="10006" max="10006" width="8.265625" style="299" customWidth="1"/>
    <col min="10007" max="10007" width="9.1328125" style="299" customWidth="1"/>
    <col min="10008" max="10008" width="8.3984375" style="299" customWidth="1"/>
    <col min="10009" max="10029" width="0" style="299" hidden="1" customWidth="1"/>
    <col min="10030" max="10031" width="9.1328125" style="299" customWidth="1"/>
    <col min="10032" max="10240" width="9.1328125" style="299"/>
    <col min="10241" max="10241" width="4.86328125" style="299" customWidth="1"/>
    <col min="10242" max="10242" width="26.86328125" style="299" customWidth="1"/>
    <col min="10243" max="10243" width="11" style="299" customWidth="1"/>
    <col min="10244" max="10245" width="9.1328125" style="299" customWidth="1"/>
    <col min="10246" max="10246" width="11.3984375" style="299" customWidth="1"/>
    <col min="10247" max="10247" width="11.1328125" style="299" customWidth="1"/>
    <col min="10248" max="10248" width="9.59765625" style="299" customWidth="1"/>
    <col min="10249" max="10249" width="10.59765625" style="299" customWidth="1"/>
    <col min="10250" max="10250" width="9.1328125" style="299" customWidth="1"/>
    <col min="10251" max="10251" width="0" style="299" hidden="1" customWidth="1"/>
    <col min="10252" max="10252" width="9.265625" style="299" customWidth="1"/>
    <col min="10253" max="10253" width="6.59765625" style="299" customWidth="1"/>
    <col min="10254" max="10254" width="8.3984375" style="299" customWidth="1"/>
    <col min="10255" max="10255" width="9.1328125" style="299" customWidth="1"/>
    <col min="10256" max="10256" width="8.1328125" style="299" customWidth="1"/>
    <col min="10257" max="10257" width="11.1328125" style="299" customWidth="1"/>
    <col min="10258" max="10258" width="9.3984375" style="299" customWidth="1"/>
    <col min="10259" max="10259" width="0" style="299" hidden="1" customWidth="1"/>
    <col min="10260" max="10260" width="8.3984375" style="299" customWidth="1"/>
    <col min="10261" max="10261" width="7.59765625" style="299" customWidth="1"/>
    <col min="10262" max="10262" width="8.265625" style="299" customWidth="1"/>
    <col min="10263" max="10263" width="9.1328125" style="299" customWidth="1"/>
    <col min="10264" max="10264" width="8.3984375" style="299" customWidth="1"/>
    <col min="10265" max="10285" width="0" style="299" hidden="1" customWidth="1"/>
    <col min="10286" max="10287" width="9.1328125" style="299" customWidth="1"/>
    <col min="10288" max="10496" width="9.1328125" style="299"/>
    <col min="10497" max="10497" width="4.86328125" style="299" customWidth="1"/>
    <col min="10498" max="10498" width="26.86328125" style="299" customWidth="1"/>
    <col min="10499" max="10499" width="11" style="299" customWidth="1"/>
    <col min="10500" max="10501" width="9.1328125" style="299" customWidth="1"/>
    <col min="10502" max="10502" width="11.3984375" style="299" customWidth="1"/>
    <col min="10503" max="10503" width="11.1328125" style="299" customWidth="1"/>
    <col min="10504" max="10504" width="9.59765625" style="299" customWidth="1"/>
    <col min="10505" max="10505" width="10.59765625" style="299" customWidth="1"/>
    <col min="10506" max="10506" width="9.1328125" style="299" customWidth="1"/>
    <col min="10507" max="10507" width="0" style="299" hidden="1" customWidth="1"/>
    <col min="10508" max="10508" width="9.265625" style="299" customWidth="1"/>
    <col min="10509" max="10509" width="6.59765625" style="299" customWidth="1"/>
    <col min="10510" max="10510" width="8.3984375" style="299" customWidth="1"/>
    <col min="10511" max="10511" width="9.1328125" style="299" customWidth="1"/>
    <col min="10512" max="10512" width="8.1328125" style="299" customWidth="1"/>
    <col min="10513" max="10513" width="11.1328125" style="299" customWidth="1"/>
    <col min="10514" max="10514" width="9.3984375" style="299" customWidth="1"/>
    <col min="10515" max="10515" width="0" style="299" hidden="1" customWidth="1"/>
    <col min="10516" max="10516" width="8.3984375" style="299" customWidth="1"/>
    <col min="10517" max="10517" width="7.59765625" style="299" customWidth="1"/>
    <col min="10518" max="10518" width="8.265625" style="299" customWidth="1"/>
    <col min="10519" max="10519" width="9.1328125" style="299" customWidth="1"/>
    <col min="10520" max="10520" width="8.3984375" style="299" customWidth="1"/>
    <col min="10521" max="10541" width="0" style="299" hidden="1" customWidth="1"/>
    <col min="10542" max="10543" width="9.1328125" style="299" customWidth="1"/>
    <col min="10544" max="10752" width="9.1328125" style="299"/>
    <col min="10753" max="10753" width="4.86328125" style="299" customWidth="1"/>
    <col min="10754" max="10754" width="26.86328125" style="299" customWidth="1"/>
    <col min="10755" max="10755" width="11" style="299" customWidth="1"/>
    <col min="10756" max="10757" width="9.1328125" style="299" customWidth="1"/>
    <col min="10758" max="10758" width="11.3984375" style="299" customWidth="1"/>
    <col min="10759" max="10759" width="11.1328125" style="299" customWidth="1"/>
    <col min="10760" max="10760" width="9.59765625" style="299" customWidth="1"/>
    <col min="10761" max="10761" width="10.59765625" style="299" customWidth="1"/>
    <col min="10762" max="10762" width="9.1328125" style="299" customWidth="1"/>
    <col min="10763" max="10763" width="0" style="299" hidden="1" customWidth="1"/>
    <col min="10764" max="10764" width="9.265625" style="299" customWidth="1"/>
    <col min="10765" max="10765" width="6.59765625" style="299" customWidth="1"/>
    <col min="10766" max="10766" width="8.3984375" style="299" customWidth="1"/>
    <col min="10767" max="10767" width="9.1328125" style="299" customWidth="1"/>
    <col min="10768" max="10768" width="8.1328125" style="299" customWidth="1"/>
    <col min="10769" max="10769" width="11.1328125" style="299" customWidth="1"/>
    <col min="10770" max="10770" width="9.3984375" style="299" customWidth="1"/>
    <col min="10771" max="10771" width="0" style="299" hidden="1" customWidth="1"/>
    <col min="10772" max="10772" width="8.3984375" style="299" customWidth="1"/>
    <col min="10773" max="10773" width="7.59765625" style="299" customWidth="1"/>
    <col min="10774" max="10774" width="8.265625" style="299" customWidth="1"/>
    <col min="10775" max="10775" width="9.1328125" style="299" customWidth="1"/>
    <col min="10776" max="10776" width="8.3984375" style="299" customWidth="1"/>
    <col min="10777" max="10797" width="0" style="299" hidden="1" customWidth="1"/>
    <col min="10798" max="10799" width="9.1328125" style="299" customWidth="1"/>
    <col min="10800" max="11008" width="9.1328125" style="299"/>
    <col min="11009" max="11009" width="4.86328125" style="299" customWidth="1"/>
    <col min="11010" max="11010" width="26.86328125" style="299" customWidth="1"/>
    <col min="11011" max="11011" width="11" style="299" customWidth="1"/>
    <col min="11012" max="11013" width="9.1328125" style="299" customWidth="1"/>
    <col min="11014" max="11014" width="11.3984375" style="299" customWidth="1"/>
    <col min="11015" max="11015" width="11.1328125" style="299" customWidth="1"/>
    <col min="11016" max="11016" width="9.59765625" style="299" customWidth="1"/>
    <col min="11017" max="11017" width="10.59765625" style="299" customWidth="1"/>
    <col min="11018" max="11018" width="9.1328125" style="299" customWidth="1"/>
    <col min="11019" max="11019" width="0" style="299" hidden="1" customWidth="1"/>
    <col min="11020" max="11020" width="9.265625" style="299" customWidth="1"/>
    <col min="11021" max="11021" width="6.59765625" style="299" customWidth="1"/>
    <col min="11022" max="11022" width="8.3984375" style="299" customWidth="1"/>
    <col min="11023" max="11023" width="9.1328125" style="299" customWidth="1"/>
    <col min="11024" max="11024" width="8.1328125" style="299" customWidth="1"/>
    <col min="11025" max="11025" width="11.1328125" style="299" customWidth="1"/>
    <col min="11026" max="11026" width="9.3984375" style="299" customWidth="1"/>
    <col min="11027" max="11027" width="0" style="299" hidden="1" customWidth="1"/>
    <col min="11028" max="11028" width="8.3984375" style="299" customWidth="1"/>
    <col min="11029" max="11029" width="7.59765625" style="299" customWidth="1"/>
    <col min="11030" max="11030" width="8.265625" style="299" customWidth="1"/>
    <col min="11031" max="11031" width="9.1328125" style="299" customWidth="1"/>
    <col min="11032" max="11032" width="8.3984375" style="299" customWidth="1"/>
    <col min="11033" max="11053" width="0" style="299" hidden="1" customWidth="1"/>
    <col min="11054" max="11055" width="9.1328125" style="299" customWidth="1"/>
    <col min="11056" max="11264" width="9.1328125" style="299"/>
    <col min="11265" max="11265" width="4.86328125" style="299" customWidth="1"/>
    <col min="11266" max="11266" width="26.86328125" style="299" customWidth="1"/>
    <col min="11267" max="11267" width="11" style="299" customWidth="1"/>
    <col min="11268" max="11269" width="9.1328125" style="299" customWidth="1"/>
    <col min="11270" max="11270" width="11.3984375" style="299" customWidth="1"/>
    <col min="11271" max="11271" width="11.1328125" style="299" customWidth="1"/>
    <col min="11272" max="11272" width="9.59765625" style="299" customWidth="1"/>
    <col min="11273" max="11273" width="10.59765625" style="299" customWidth="1"/>
    <col min="11274" max="11274" width="9.1328125" style="299" customWidth="1"/>
    <col min="11275" max="11275" width="0" style="299" hidden="1" customWidth="1"/>
    <col min="11276" max="11276" width="9.265625" style="299" customWidth="1"/>
    <col min="11277" max="11277" width="6.59765625" style="299" customWidth="1"/>
    <col min="11278" max="11278" width="8.3984375" style="299" customWidth="1"/>
    <col min="11279" max="11279" width="9.1328125" style="299" customWidth="1"/>
    <col min="11280" max="11280" width="8.1328125" style="299" customWidth="1"/>
    <col min="11281" max="11281" width="11.1328125" style="299" customWidth="1"/>
    <col min="11282" max="11282" width="9.3984375" style="299" customWidth="1"/>
    <col min="11283" max="11283" width="0" style="299" hidden="1" customWidth="1"/>
    <col min="11284" max="11284" width="8.3984375" style="299" customWidth="1"/>
    <col min="11285" max="11285" width="7.59765625" style="299" customWidth="1"/>
    <col min="11286" max="11286" width="8.265625" style="299" customWidth="1"/>
    <col min="11287" max="11287" width="9.1328125" style="299" customWidth="1"/>
    <col min="11288" max="11288" width="8.3984375" style="299" customWidth="1"/>
    <col min="11289" max="11309" width="0" style="299" hidden="1" customWidth="1"/>
    <col min="11310" max="11311" width="9.1328125" style="299" customWidth="1"/>
    <col min="11312" max="11520" width="9.1328125" style="299"/>
    <col min="11521" max="11521" width="4.86328125" style="299" customWidth="1"/>
    <col min="11522" max="11522" width="26.86328125" style="299" customWidth="1"/>
    <col min="11523" max="11523" width="11" style="299" customWidth="1"/>
    <col min="11524" max="11525" width="9.1328125" style="299" customWidth="1"/>
    <col min="11526" max="11526" width="11.3984375" style="299" customWidth="1"/>
    <col min="11527" max="11527" width="11.1328125" style="299" customWidth="1"/>
    <col min="11528" max="11528" width="9.59765625" style="299" customWidth="1"/>
    <col min="11529" max="11529" width="10.59765625" style="299" customWidth="1"/>
    <col min="11530" max="11530" width="9.1328125" style="299" customWidth="1"/>
    <col min="11531" max="11531" width="0" style="299" hidden="1" customWidth="1"/>
    <col min="11532" max="11532" width="9.265625" style="299" customWidth="1"/>
    <col min="11533" max="11533" width="6.59765625" style="299" customWidth="1"/>
    <col min="11534" max="11534" width="8.3984375" style="299" customWidth="1"/>
    <col min="11535" max="11535" width="9.1328125" style="299" customWidth="1"/>
    <col min="11536" max="11536" width="8.1328125" style="299" customWidth="1"/>
    <col min="11537" max="11537" width="11.1328125" style="299" customWidth="1"/>
    <col min="11538" max="11538" width="9.3984375" style="299" customWidth="1"/>
    <col min="11539" max="11539" width="0" style="299" hidden="1" customWidth="1"/>
    <col min="11540" max="11540" width="8.3984375" style="299" customWidth="1"/>
    <col min="11541" max="11541" width="7.59765625" style="299" customWidth="1"/>
    <col min="11542" max="11542" width="8.265625" style="299" customWidth="1"/>
    <col min="11543" max="11543" width="9.1328125" style="299" customWidth="1"/>
    <col min="11544" max="11544" width="8.3984375" style="299" customWidth="1"/>
    <col min="11545" max="11565" width="0" style="299" hidden="1" customWidth="1"/>
    <col min="11566" max="11567" width="9.1328125" style="299" customWidth="1"/>
    <col min="11568" max="11776" width="9.1328125" style="299"/>
    <col min="11777" max="11777" width="4.86328125" style="299" customWidth="1"/>
    <col min="11778" max="11778" width="26.86328125" style="299" customWidth="1"/>
    <col min="11779" max="11779" width="11" style="299" customWidth="1"/>
    <col min="11780" max="11781" width="9.1328125" style="299" customWidth="1"/>
    <col min="11782" max="11782" width="11.3984375" style="299" customWidth="1"/>
    <col min="11783" max="11783" width="11.1328125" style="299" customWidth="1"/>
    <col min="11784" max="11784" width="9.59765625" style="299" customWidth="1"/>
    <col min="11785" max="11785" width="10.59765625" style="299" customWidth="1"/>
    <col min="11786" max="11786" width="9.1328125" style="299" customWidth="1"/>
    <col min="11787" max="11787" width="0" style="299" hidden="1" customWidth="1"/>
    <col min="11788" max="11788" width="9.265625" style="299" customWidth="1"/>
    <col min="11789" max="11789" width="6.59765625" style="299" customWidth="1"/>
    <col min="11790" max="11790" width="8.3984375" style="299" customWidth="1"/>
    <col min="11791" max="11791" width="9.1328125" style="299" customWidth="1"/>
    <col min="11792" max="11792" width="8.1328125" style="299" customWidth="1"/>
    <col min="11793" max="11793" width="11.1328125" style="299" customWidth="1"/>
    <col min="11794" max="11794" width="9.3984375" style="299" customWidth="1"/>
    <col min="11795" max="11795" width="0" style="299" hidden="1" customWidth="1"/>
    <col min="11796" max="11796" width="8.3984375" style="299" customWidth="1"/>
    <col min="11797" max="11797" width="7.59765625" style="299" customWidth="1"/>
    <col min="11798" max="11798" width="8.265625" style="299" customWidth="1"/>
    <col min="11799" max="11799" width="9.1328125" style="299" customWidth="1"/>
    <col min="11800" max="11800" width="8.3984375" style="299" customWidth="1"/>
    <col min="11801" max="11821" width="0" style="299" hidden="1" customWidth="1"/>
    <col min="11822" max="11823" width="9.1328125" style="299" customWidth="1"/>
    <col min="11824" max="12032" width="9.1328125" style="299"/>
    <col min="12033" max="12033" width="4.86328125" style="299" customWidth="1"/>
    <col min="12034" max="12034" width="26.86328125" style="299" customWidth="1"/>
    <col min="12035" max="12035" width="11" style="299" customWidth="1"/>
    <col min="12036" max="12037" width="9.1328125" style="299" customWidth="1"/>
    <col min="12038" max="12038" width="11.3984375" style="299" customWidth="1"/>
    <col min="12039" max="12039" width="11.1328125" style="299" customWidth="1"/>
    <col min="12040" max="12040" width="9.59765625" style="299" customWidth="1"/>
    <col min="12041" max="12041" width="10.59765625" style="299" customWidth="1"/>
    <col min="12042" max="12042" width="9.1328125" style="299" customWidth="1"/>
    <col min="12043" max="12043" width="0" style="299" hidden="1" customWidth="1"/>
    <col min="12044" max="12044" width="9.265625" style="299" customWidth="1"/>
    <col min="12045" max="12045" width="6.59765625" style="299" customWidth="1"/>
    <col min="12046" max="12046" width="8.3984375" style="299" customWidth="1"/>
    <col min="12047" max="12047" width="9.1328125" style="299" customWidth="1"/>
    <col min="12048" max="12048" width="8.1328125" style="299" customWidth="1"/>
    <col min="12049" max="12049" width="11.1328125" style="299" customWidth="1"/>
    <col min="12050" max="12050" width="9.3984375" style="299" customWidth="1"/>
    <col min="12051" max="12051" width="0" style="299" hidden="1" customWidth="1"/>
    <col min="12052" max="12052" width="8.3984375" style="299" customWidth="1"/>
    <col min="12053" max="12053" width="7.59765625" style="299" customWidth="1"/>
    <col min="12054" max="12054" width="8.265625" style="299" customWidth="1"/>
    <col min="12055" max="12055" width="9.1328125" style="299" customWidth="1"/>
    <col min="12056" max="12056" width="8.3984375" style="299" customWidth="1"/>
    <col min="12057" max="12077" width="0" style="299" hidden="1" customWidth="1"/>
    <col min="12078" max="12079" width="9.1328125" style="299" customWidth="1"/>
    <col min="12080" max="12288" width="9.1328125" style="299"/>
    <col min="12289" max="12289" width="4.86328125" style="299" customWidth="1"/>
    <col min="12290" max="12290" width="26.86328125" style="299" customWidth="1"/>
    <col min="12291" max="12291" width="11" style="299" customWidth="1"/>
    <col min="12292" max="12293" width="9.1328125" style="299" customWidth="1"/>
    <col min="12294" max="12294" width="11.3984375" style="299" customWidth="1"/>
    <col min="12295" max="12295" width="11.1328125" style="299" customWidth="1"/>
    <col min="12296" max="12296" width="9.59765625" style="299" customWidth="1"/>
    <col min="12297" max="12297" width="10.59765625" style="299" customWidth="1"/>
    <col min="12298" max="12298" width="9.1328125" style="299" customWidth="1"/>
    <col min="12299" max="12299" width="0" style="299" hidden="1" customWidth="1"/>
    <col min="12300" max="12300" width="9.265625" style="299" customWidth="1"/>
    <col min="12301" max="12301" width="6.59765625" style="299" customWidth="1"/>
    <col min="12302" max="12302" width="8.3984375" style="299" customWidth="1"/>
    <col min="12303" max="12303" width="9.1328125" style="299" customWidth="1"/>
    <col min="12304" max="12304" width="8.1328125" style="299" customWidth="1"/>
    <col min="12305" max="12305" width="11.1328125" style="299" customWidth="1"/>
    <col min="12306" max="12306" width="9.3984375" style="299" customWidth="1"/>
    <col min="12307" max="12307" width="0" style="299" hidden="1" customWidth="1"/>
    <col min="12308" max="12308" width="8.3984375" style="299" customWidth="1"/>
    <col min="12309" max="12309" width="7.59765625" style="299" customWidth="1"/>
    <col min="12310" max="12310" width="8.265625" style="299" customWidth="1"/>
    <col min="12311" max="12311" width="9.1328125" style="299" customWidth="1"/>
    <col min="12312" max="12312" width="8.3984375" style="299" customWidth="1"/>
    <col min="12313" max="12333" width="0" style="299" hidden="1" customWidth="1"/>
    <col min="12334" max="12335" width="9.1328125" style="299" customWidth="1"/>
    <col min="12336" max="12544" width="9.1328125" style="299"/>
    <col min="12545" max="12545" width="4.86328125" style="299" customWidth="1"/>
    <col min="12546" max="12546" width="26.86328125" style="299" customWidth="1"/>
    <col min="12547" max="12547" width="11" style="299" customWidth="1"/>
    <col min="12548" max="12549" width="9.1328125" style="299" customWidth="1"/>
    <col min="12550" max="12550" width="11.3984375" style="299" customWidth="1"/>
    <col min="12551" max="12551" width="11.1328125" style="299" customWidth="1"/>
    <col min="12552" max="12552" width="9.59765625" style="299" customWidth="1"/>
    <col min="12553" max="12553" width="10.59765625" style="299" customWidth="1"/>
    <col min="12554" max="12554" width="9.1328125" style="299" customWidth="1"/>
    <col min="12555" max="12555" width="0" style="299" hidden="1" customWidth="1"/>
    <col min="12556" max="12556" width="9.265625" style="299" customWidth="1"/>
    <col min="12557" max="12557" width="6.59765625" style="299" customWidth="1"/>
    <col min="12558" max="12558" width="8.3984375" style="299" customWidth="1"/>
    <col min="12559" max="12559" width="9.1328125" style="299" customWidth="1"/>
    <col min="12560" max="12560" width="8.1328125" style="299" customWidth="1"/>
    <col min="12561" max="12561" width="11.1328125" style="299" customWidth="1"/>
    <col min="12562" max="12562" width="9.3984375" style="299" customWidth="1"/>
    <col min="12563" max="12563" width="0" style="299" hidden="1" customWidth="1"/>
    <col min="12564" max="12564" width="8.3984375" style="299" customWidth="1"/>
    <col min="12565" max="12565" width="7.59765625" style="299" customWidth="1"/>
    <col min="12566" max="12566" width="8.265625" style="299" customWidth="1"/>
    <col min="12567" max="12567" width="9.1328125" style="299" customWidth="1"/>
    <col min="12568" max="12568" width="8.3984375" style="299" customWidth="1"/>
    <col min="12569" max="12589" width="0" style="299" hidden="1" customWidth="1"/>
    <col min="12590" max="12591" width="9.1328125" style="299" customWidth="1"/>
    <col min="12592" max="12800" width="9.1328125" style="299"/>
    <col min="12801" max="12801" width="4.86328125" style="299" customWidth="1"/>
    <col min="12802" max="12802" width="26.86328125" style="299" customWidth="1"/>
    <col min="12803" max="12803" width="11" style="299" customWidth="1"/>
    <col min="12804" max="12805" width="9.1328125" style="299" customWidth="1"/>
    <col min="12806" max="12806" width="11.3984375" style="299" customWidth="1"/>
    <col min="12807" max="12807" width="11.1328125" style="299" customWidth="1"/>
    <col min="12808" max="12808" width="9.59765625" style="299" customWidth="1"/>
    <col min="12809" max="12809" width="10.59765625" style="299" customWidth="1"/>
    <col min="12810" max="12810" width="9.1328125" style="299" customWidth="1"/>
    <col min="12811" max="12811" width="0" style="299" hidden="1" customWidth="1"/>
    <col min="12812" max="12812" width="9.265625" style="299" customWidth="1"/>
    <col min="12813" max="12813" width="6.59765625" style="299" customWidth="1"/>
    <col min="12814" max="12814" width="8.3984375" style="299" customWidth="1"/>
    <col min="12815" max="12815" width="9.1328125" style="299" customWidth="1"/>
    <col min="12816" max="12816" width="8.1328125" style="299" customWidth="1"/>
    <col min="12817" max="12817" width="11.1328125" style="299" customWidth="1"/>
    <col min="12818" max="12818" width="9.3984375" style="299" customWidth="1"/>
    <col min="12819" max="12819" width="0" style="299" hidden="1" customWidth="1"/>
    <col min="12820" max="12820" width="8.3984375" style="299" customWidth="1"/>
    <col min="12821" max="12821" width="7.59765625" style="299" customWidth="1"/>
    <col min="12822" max="12822" width="8.265625" style="299" customWidth="1"/>
    <col min="12823" max="12823" width="9.1328125" style="299" customWidth="1"/>
    <col min="12824" max="12824" width="8.3984375" style="299" customWidth="1"/>
    <col min="12825" max="12845" width="0" style="299" hidden="1" customWidth="1"/>
    <col min="12846" max="12847" width="9.1328125" style="299" customWidth="1"/>
    <col min="12848" max="13056" width="9.1328125" style="299"/>
    <col min="13057" max="13057" width="4.86328125" style="299" customWidth="1"/>
    <col min="13058" max="13058" width="26.86328125" style="299" customWidth="1"/>
    <col min="13059" max="13059" width="11" style="299" customWidth="1"/>
    <col min="13060" max="13061" width="9.1328125" style="299" customWidth="1"/>
    <col min="13062" max="13062" width="11.3984375" style="299" customWidth="1"/>
    <col min="13063" max="13063" width="11.1328125" style="299" customWidth="1"/>
    <col min="13064" max="13064" width="9.59765625" style="299" customWidth="1"/>
    <col min="13065" max="13065" width="10.59765625" style="299" customWidth="1"/>
    <col min="13066" max="13066" width="9.1328125" style="299" customWidth="1"/>
    <col min="13067" max="13067" width="0" style="299" hidden="1" customWidth="1"/>
    <col min="13068" max="13068" width="9.265625" style="299" customWidth="1"/>
    <col min="13069" max="13069" width="6.59765625" style="299" customWidth="1"/>
    <col min="13070" max="13070" width="8.3984375" style="299" customWidth="1"/>
    <col min="13071" max="13071" width="9.1328125" style="299" customWidth="1"/>
    <col min="13072" max="13072" width="8.1328125" style="299" customWidth="1"/>
    <col min="13073" max="13073" width="11.1328125" style="299" customWidth="1"/>
    <col min="13074" max="13074" width="9.3984375" style="299" customWidth="1"/>
    <col min="13075" max="13075" width="0" style="299" hidden="1" customWidth="1"/>
    <col min="13076" max="13076" width="8.3984375" style="299" customWidth="1"/>
    <col min="13077" max="13077" width="7.59765625" style="299" customWidth="1"/>
    <col min="13078" max="13078" width="8.265625" style="299" customWidth="1"/>
    <col min="13079" max="13079" width="9.1328125" style="299" customWidth="1"/>
    <col min="13080" max="13080" width="8.3984375" style="299" customWidth="1"/>
    <col min="13081" max="13101" width="0" style="299" hidden="1" customWidth="1"/>
    <col min="13102" max="13103" width="9.1328125" style="299" customWidth="1"/>
    <col min="13104" max="13312" width="9.1328125" style="299"/>
    <col min="13313" max="13313" width="4.86328125" style="299" customWidth="1"/>
    <col min="13314" max="13314" width="26.86328125" style="299" customWidth="1"/>
    <col min="13315" max="13315" width="11" style="299" customWidth="1"/>
    <col min="13316" max="13317" width="9.1328125" style="299" customWidth="1"/>
    <col min="13318" max="13318" width="11.3984375" style="299" customWidth="1"/>
    <col min="13319" max="13319" width="11.1328125" style="299" customWidth="1"/>
    <col min="13320" max="13320" width="9.59765625" style="299" customWidth="1"/>
    <col min="13321" max="13321" width="10.59765625" style="299" customWidth="1"/>
    <col min="13322" max="13322" width="9.1328125" style="299" customWidth="1"/>
    <col min="13323" max="13323" width="0" style="299" hidden="1" customWidth="1"/>
    <col min="13324" max="13324" width="9.265625" style="299" customWidth="1"/>
    <col min="13325" max="13325" width="6.59765625" style="299" customWidth="1"/>
    <col min="13326" max="13326" width="8.3984375" style="299" customWidth="1"/>
    <col min="13327" max="13327" width="9.1328125" style="299" customWidth="1"/>
    <col min="13328" max="13328" width="8.1328125" style="299" customWidth="1"/>
    <col min="13329" max="13329" width="11.1328125" style="299" customWidth="1"/>
    <col min="13330" max="13330" width="9.3984375" style="299" customWidth="1"/>
    <col min="13331" max="13331" width="0" style="299" hidden="1" customWidth="1"/>
    <col min="13332" max="13332" width="8.3984375" style="299" customWidth="1"/>
    <col min="13333" max="13333" width="7.59765625" style="299" customWidth="1"/>
    <col min="13334" max="13334" width="8.265625" style="299" customWidth="1"/>
    <col min="13335" max="13335" width="9.1328125" style="299" customWidth="1"/>
    <col min="13336" max="13336" width="8.3984375" style="299" customWidth="1"/>
    <col min="13337" max="13357" width="0" style="299" hidden="1" customWidth="1"/>
    <col min="13358" max="13359" width="9.1328125" style="299" customWidth="1"/>
    <col min="13360" max="13568" width="9.1328125" style="299"/>
    <col min="13569" max="13569" width="4.86328125" style="299" customWidth="1"/>
    <col min="13570" max="13570" width="26.86328125" style="299" customWidth="1"/>
    <col min="13571" max="13571" width="11" style="299" customWidth="1"/>
    <col min="13572" max="13573" width="9.1328125" style="299" customWidth="1"/>
    <col min="13574" max="13574" width="11.3984375" style="299" customWidth="1"/>
    <col min="13575" max="13575" width="11.1328125" style="299" customWidth="1"/>
    <col min="13576" max="13576" width="9.59765625" style="299" customWidth="1"/>
    <col min="13577" max="13577" width="10.59765625" style="299" customWidth="1"/>
    <col min="13578" max="13578" width="9.1328125" style="299" customWidth="1"/>
    <col min="13579" max="13579" width="0" style="299" hidden="1" customWidth="1"/>
    <col min="13580" max="13580" width="9.265625" style="299" customWidth="1"/>
    <col min="13581" max="13581" width="6.59765625" style="299" customWidth="1"/>
    <col min="13582" max="13582" width="8.3984375" style="299" customWidth="1"/>
    <col min="13583" max="13583" width="9.1328125" style="299" customWidth="1"/>
    <col min="13584" max="13584" width="8.1328125" style="299" customWidth="1"/>
    <col min="13585" max="13585" width="11.1328125" style="299" customWidth="1"/>
    <col min="13586" max="13586" width="9.3984375" style="299" customWidth="1"/>
    <col min="13587" max="13587" width="0" style="299" hidden="1" customWidth="1"/>
    <col min="13588" max="13588" width="8.3984375" style="299" customWidth="1"/>
    <col min="13589" max="13589" width="7.59765625" style="299" customWidth="1"/>
    <col min="13590" max="13590" width="8.265625" style="299" customWidth="1"/>
    <col min="13591" max="13591" width="9.1328125" style="299" customWidth="1"/>
    <col min="13592" max="13592" width="8.3984375" style="299" customWidth="1"/>
    <col min="13593" max="13613" width="0" style="299" hidden="1" customWidth="1"/>
    <col min="13614" max="13615" width="9.1328125" style="299" customWidth="1"/>
    <col min="13616" max="13824" width="9.1328125" style="299"/>
    <col min="13825" max="13825" width="4.86328125" style="299" customWidth="1"/>
    <col min="13826" max="13826" width="26.86328125" style="299" customWidth="1"/>
    <col min="13827" max="13827" width="11" style="299" customWidth="1"/>
    <col min="13828" max="13829" width="9.1328125" style="299" customWidth="1"/>
    <col min="13830" max="13830" width="11.3984375" style="299" customWidth="1"/>
    <col min="13831" max="13831" width="11.1328125" style="299" customWidth="1"/>
    <col min="13832" max="13832" width="9.59765625" style="299" customWidth="1"/>
    <col min="13833" max="13833" width="10.59765625" style="299" customWidth="1"/>
    <col min="13834" max="13834" width="9.1328125" style="299" customWidth="1"/>
    <col min="13835" max="13835" width="0" style="299" hidden="1" customWidth="1"/>
    <col min="13836" max="13836" width="9.265625" style="299" customWidth="1"/>
    <col min="13837" max="13837" width="6.59765625" style="299" customWidth="1"/>
    <col min="13838" max="13838" width="8.3984375" style="299" customWidth="1"/>
    <col min="13839" max="13839" width="9.1328125" style="299" customWidth="1"/>
    <col min="13840" max="13840" width="8.1328125" style="299" customWidth="1"/>
    <col min="13841" max="13841" width="11.1328125" style="299" customWidth="1"/>
    <col min="13842" max="13842" width="9.3984375" style="299" customWidth="1"/>
    <col min="13843" max="13843" width="0" style="299" hidden="1" customWidth="1"/>
    <col min="13844" max="13844" width="8.3984375" style="299" customWidth="1"/>
    <col min="13845" max="13845" width="7.59765625" style="299" customWidth="1"/>
    <col min="13846" max="13846" width="8.265625" style="299" customWidth="1"/>
    <col min="13847" max="13847" width="9.1328125" style="299" customWidth="1"/>
    <col min="13848" max="13848" width="8.3984375" style="299" customWidth="1"/>
    <col min="13849" max="13869" width="0" style="299" hidden="1" customWidth="1"/>
    <col min="13870" max="13871" width="9.1328125" style="299" customWidth="1"/>
    <col min="13872" max="14080" width="9.1328125" style="299"/>
    <col min="14081" max="14081" width="4.86328125" style="299" customWidth="1"/>
    <col min="14082" max="14082" width="26.86328125" style="299" customWidth="1"/>
    <col min="14083" max="14083" width="11" style="299" customWidth="1"/>
    <col min="14084" max="14085" width="9.1328125" style="299" customWidth="1"/>
    <col min="14086" max="14086" width="11.3984375" style="299" customWidth="1"/>
    <col min="14087" max="14087" width="11.1328125" style="299" customWidth="1"/>
    <col min="14088" max="14088" width="9.59765625" style="299" customWidth="1"/>
    <col min="14089" max="14089" width="10.59765625" style="299" customWidth="1"/>
    <col min="14090" max="14090" width="9.1328125" style="299" customWidth="1"/>
    <col min="14091" max="14091" width="0" style="299" hidden="1" customWidth="1"/>
    <col min="14092" max="14092" width="9.265625" style="299" customWidth="1"/>
    <col min="14093" max="14093" width="6.59765625" style="299" customWidth="1"/>
    <col min="14094" max="14094" width="8.3984375" style="299" customWidth="1"/>
    <col min="14095" max="14095" width="9.1328125" style="299" customWidth="1"/>
    <col min="14096" max="14096" width="8.1328125" style="299" customWidth="1"/>
    <col min="14097" max="14097" width="11.1328125" style="299" customWidth="1"/>
    <col min="14098" max="14098" width="9.3984375" style="299" customWidth="1"/>
    <col min="14099" max="14099" width="0" style="299" hidden="1" customWidth="1"/>
    <col min="14100" max="14100" width="8.3984375" style="299" customWidth="1"/>
    <col min="14101" max="14101" width="7.59765625" style="299" customWidth="1"/>
    <col min="14102" max="14102" width="8.265625" style="299" customWidth="1"/>
    <col min="14103" max="14103" width="9.1328125" style="299" customWidth="1"/>
    <col min="14104" max="14104" width="8.3984375" style="299" customWidth="1"/>
    <col min="14105" max="14125" width="0" style="299" hidden="1" customWidth="1"/>
    <col min="14126" max="14127" width="9.1328125" style="299" customWidth="1"/>
    <col min="14128" max="14336" width="9.1328125" style="299"/>
    <col min="14337" max="14337" width="4.86328125" style="299" customWidth="1"/>
    <col min="14338" max="14338" width="26.86328125" style="299" customWidth="1"/>
    <col min="14339" max="14339" width="11" style="299" customWidth="1"/>
    <col min="14340" max="14341" width="9.1328125" style="299" customWidth="1"/>
    <col min="14342" max="14342" width="11.3984375" style="299" customWidth="1"/>
    <col min="14343" max="14343" width="11.1328125" style="299" customWidth="1"/>
    <col min="14344" max="14344" width="9.59765625" style="299" customWidth="1"/>
    <col min="14345" max="14345" width="10.59765625" style="299" customWidth="1"/>
    <col min="14346" max="14346" width="9.1328125" style="299" customWidth="1"/>
    <col min="14347" max="14347" width="0" style="299" hidden="1" customWidth="1"/>
    <col min="14348" max="14348" width="9.265625" style="299" customWidth="1"/>
    <col min="14349" max="14349" width="6.59765625" style="299" customWidth="1"/>
    <col min="14350" max="14350" width="8.3984375" style="299" customWidth="1"/>
    <col min="14351" max="14351" width="9.1328125" style="299" customWidth="1"/>
    <col min="14352" max="14352" width="8.1328125" style="299" customWidth="1"/>
    <col min="14353" max="14353" width="11.1328125" style="299" customWidth="1"/>
    <col min="14354" max="14354" width="9.3984375" style="299" customWidth="1"/>
    <col min="14355" max="14355" width="0" style="299" hidden="1" customWidth="1"/>
    <col min="14356" max="14356" width="8.3984375" style="299" customWidth="1"/>
    <col min="14357" max="14357" width="7.59765625" style="299" customWidth="1"/>
    <col min="14358" max="14358" width="8.265625" style="299" customWidth="1"/>
    <col min="14359" max="14359" width="9.1328125" style="299" customWidth="1"/>
    <col min="14360" max="14360" width="8.3984375" style="299" customWidth="1"/>
    <col min="14361" max="14381" width="0" style="299" hidden="1" customWidth="1"/>
    <col min="14382" max="14383" width="9.1328125" style="299" customWidth="1"/>
    <col min="14384" max="14592" width="9.1328125" style="299"/>
    <col min="14593" max="14593" width="4.86328125" style="299" customWidth="1"/>
    <col min="14594" max="14594" width="26.86328125" style="299" customWidth="1"/>
    <col min="14595" max="14595" width="11" style="299" customWidth="1"/>
    <col min="14596" max="14597" width="9.1328125" style="299" customWidth="1"/>
    <col min="14598" max="14598" width="11.3984375" style="299" customWidth="1"/>
    <col min="14599" max="14599" width="11.1328125" style="299" customWidth="1"/>
    <col min="14600" max="14600" width="9.59765625" style="299" customWidth="1"/>
    <col min="14601" max="14601" width="10.59765625" style="299" customWidth="1"/>
    <col min="14602" max="14602" width="9.1328125" style="299" customWidth="1"/>
    <col min="14603" max="14603" width="0" style="299" hidden="1" customWidth="1"/>
    <col min="14604" max="14604" width="9.265625" style="299" customWidth="1"/>
    <col min="14605" max="14605" width="6.59765625" style="299" customWidth="1"/>
    <col min="14606" max="14606" width="8.3984375" style="299" customWidth="1"/>
    <col min="14607" max="14607" width="9.1328125" style="299" customWidth="1"/>
    <col min="14608" max="14608" width="8.1328125" style="299" customWidth="1"/>
    <col min="14609" max="14609" width="11.1328125" style="299" customWidth="1"/>
    <col min="14610" max="14610" width="9.3984375" style="299" customWidth="1"/>
    <col min="14611" max="14611" width="0" style="299" hidden="1" customWidth="1"/>
    <col min="14612" max="14612" width="8.3984375" style="299" customWidth="1"/>
    <col min="14613" max="14613" width="7.59765625" style="299" customWidth="1"/>
    <col min="14614" max="14614" width="8.265625" style="299" customWidth="1"/>
    <col min="14615" max="14615" width="9.1328125" style="299" customWidth="1"/>
    <col min="14616" max="14616" width="8.3984375" style="299" customWidth="1"/>
    <col min="14617" max="14637" width="0" style="299" hidden="1" customWidth="1"/>
    <col min="14638" max="14639" width="9.1328125" style="299" customWidth="1"/>
    <col min="14640" max="14848" width="9.1328125" style="299"/>
    <col min="14849" max="14849" width="4.86328125" style="299" customWidth="1"/>
    <col min="14850" max="14850" width="26.86328125" style="299" customWidth="1"/>
    <col min="14851" max="14851" width="11" style="299" customWidth="1"/>
    <col min="14852" max="14853" width="9.1328125" style="299" customWidth="1"/>
    <col min="14854" max="14854" width="11.3984375" style="299" customWidth="1"/>
    <col min="14855" max="14855" width="11.1328125" style="299" customWidth="1"/>
    <col min="14856" max="14856" width="9.59765625" style="299" customWidth="1"/>
    <col min="14857" max="14857" width="10.59765625" style="299" customWidth="1"/>
    <col min="14858" max="14858" width="9.1328125" style="299" customWidth="1"/>
    <col min="14859" max="14859" width="0" style="299" hidden="1" customWidth="1"/>
    <col min="14860" max="14860" width="9.265625" style="299" customWidth="1"/>
    <col min="14861" max="14861" width="6.59765625" style="299" customWidth="1"/>
    <col min="14862" max="14862" width="8.3984375" style="299" customWidth="1"/>
    <col min="14863" max="14863" width="9.1328125" style="299" customWidth="1"/>
    <col min="14864" max="14864" width="8.1328125" style="299" customWidth="1"/>
    <col min="14865" max="14865" width="11.1328125" style="299" customWidth="1"/>
    <col min="14866" max="14866" width="9.3984375" style="299" customWidth="1"/>
    <col min="14867" max="14867" width="0" style="299" hidden="1" customWidth="1"/>
    <col min="14868" max="14868" width="8.3984375" style="299" customWidth="1"/>
    <col min="14869" max="14869" width="7.59765625" style="299" customWidth="1"/>
    <col min="14870" max="14870" width="8.265625" style="299" customWidth="1"/>
    <col min="14871" max="14871" width="9.1328125" style="299" customWidth="1"/>
    <col min="14872" max="14872" width="8.3984375" style="299" customWidth="1"/>
    <col min="14873" max="14893" width="0" style="299" hidden="1" customWidth="1"/>
    <col min="14894" max="14895" width="9.1328125" style="299" customWidth="1"/>
    <col min="14896" max="15104" width="9.1328125" style="299"/>
    <col min="15105" max="15105" width="4.86328125" style="299" customWidth="1"/>
    <col min="15106" max="15106" width="26.86328125" style="299" customWidth="1"/>
    <col min="15107" max="15107" width="11" style="299" customWidth="1"/>
    <col min="15108" max="15109" width="9.1328125" style="299" customWidth="1"/>
    <col min="15110" max="15110" width="11.3984375" style="299" customWidth="1"/>
    <col min="15111" max="15111" width="11.1328125" style="299" customWidth="1"/>
    <col min="15112" max="15112" width="9.59765625" style="299" customWidth="1"/>
    <col min="15113" max="15113" width="10.59765625" style="299" customWidth="1"/>
    <col min="15114" max="15114" width="9.1328125" style="299" customWidth="1"/>
    <col min="15115" max="15115" width="0" style="299" hidden="1" customWidth="1"/>
    <col min="15116" max="15116" width="9.265625" style="299" customWidth="1"/>
    <col min="15117" max="15117" width="6.59765625" style="299" customWidth="1"/>
    <col min="15118" max="15118" width="8.3984375" style="299" customWidth="1"/>
    <col min="15119" max="15119" width="9.1328125" style="299" customWidth="1"/>
    <col min="15120" max="15120" width="8.1328125" style="299" customWidth="1"/>
    <col min="15121" max="15121" width="11.1328125" style="299" customWidth="1"/>
    <col min="15122" max="15122" width="9.3984375" style="299" customWidth="1"/>
    <col min="15123" max="15123" width="0" style="299" hidden="1" customWidth="1"/>
    <col min="15124" max="15124" width="8.3984375" style="299" customWidth="1"/>
    <col min="15125" max="15125" width="7.59765625" style="299" customWidth="1"/>
    <col min="15126" max="15126" width="8.265625" style="299" customWidth="1"/>
    <col min="15127" max="15127" width="9.1328125" style="299" customWidth="1"/>
    <col min="15128" max="15128" width="8.3984375" style="299" customWidth="1"/>
    <col min="15129" max="15149" width="0" style="299" hidden="1" customWidth="1"/>
    <col min="15150" max="15151" width="9.1328125" style="299" customWidth="1"/>
    <col min="15152" max="15360" width="9.1328125" style="299"/>
    <col min="15361" max="15361" width="4.86328125" style="299" customWidth="1"/>
    <col min="15362" max="15362" width="26.86328125" style="299" customWidth="1"/>
    <col min="15363" max="15363" width="11" style="299" customWidth="1"/>
    <col min="15364" max="15365" width="9.1328125" style="299" customWidth="1"/>
    <col min="15366" max="15366" width="11.3984375" style="299" customWidth="1"/>
    <col min="15367" max="15367" width="11.1328125" style="299" customWidth="1"/>
    <col min="15368" max="15368" width="9.59765625" style="299" customWidth="1"/>
    <col min="15369" max="15369" width="10.59765625" style="299" customWidth="1"/>
    <col min="15370" max="15370" width="9.1328125" style="299" customWidth="1"/>
    <col min="15371" max="15371" width="0" style="299" hidden="1" customWidth="1"/>
    <col min="15372" max="15372" width="9.265625" style="299" customWidth="1"/>
    <col min="15373" max="15373" width="6.59765625" style="299" customWidth="1"/>
    <col min="15374" max="15374" width="8.3984375" style="299" customWidth="1"/>
    <col min="15375" max="15375" width="9.1328125" style="299" customWidth="1"/>
    <col min="15376" max="15376" width="8.1328125" style="299" customWidth="1"/>
    <col min="15377" max="15377" width="11.1328125" style="299" customWidth="1"/>
    <col min="15378" max="15378" width="9.3984375" style="299" customWidth="1"/>
    <col min="15379" max="15379" width="0" style="299" hidden="1" customWidth="1"/>
    <col min="15380" max="15380" width="8.3984375" style="299" customWidth="1"/>
    <col min="15381" max="15381" width="7.59765625" style="299" customWidth="1"/>
    <col min="15382" max="15382" width="8.265625" style="299" customWidth="1"/>
    <col min="15383" max="15383" width="9.1328125" style="299" customWidth="1"/>
    <col min="15384" max="15384" width="8.3984375" style="299" customWidth="1"/>
    <col min="15385" max="15405" width="0" style="299" hidden="1" customWidth="1"/>
    <col min="15406" max="15407" width="9.1328125" style="299" customWidth="1"/>
    <col min="15408" max="15616" width="9.1328125" style="299"/>
    <col min="15617" max="15617" width="4.86328125" style="299" customWidth="1"/>
    <col min="15618" max="15618" width="26.86328125" style="299" customWidth="1"/>
    <col min="15619" max="15619" width="11" style="299" customWidth="1"/>
    <col min="15620" max="15621" width="9.1328125" style="299" customWidth="1"/>
    <col min="15622" max="15622" width="11.3984375" style="299" customWidth="1"/>
    <col min="15623" max="15623" width="11.1328125" style="299" customWidth="1"/>
    <col min="15624" max="15624" width="9.59765625" style="299" customWidth="1"/>
    <col min="15625" max="15625" width="10.59765625" style="299" customWidth="1"/>
    <col min="15626" max="15626" width="9.1328125" style="299" customWidth="1"/>
    <col min="15627" max="15627" width="0" style="299" hidden="1" customWidth="1"/>
    <col min="15628" max="15628" width="9.265625" style="299" customWidth="1"/>
    <col min="15629" max="15629" width="6.59765625" style="299" customWidth="1"/>
    <col min="15630" max="15630" width="8.3984375" style="299" customWidth="1"/>
    <col min="15631" max="15631" width="9.1328125" style="299" customWidth="1"/>
    <col min="15632" max="15632" width="8.1328125" style="299" customWidth="1"/>
    <col min="15633" max="15633" width="11.1328125" style="299" customWidth="1"/>
    <col min="15634" max="15634" width="9.3984375" style="299" customWidth="1"/>
    <col min="15635" max="15635" width="0" style="299" hidden="1" customWidth="1"/>
    <col min="15636" max="15636" width="8.3984375" style="299" customWidth="1"/>
    <col min="15637" max="15637" width="7.59765625" style="299" customWidth="1"/>
    <col min="15638" max="15638" width="8.265625" style="299" customWidth="1"/>
    <col min="15639" max="15639" width="9.1328125" style="299" customWidth="1"/>
    <col min="15640" max="15640" width="8.3984375" style="299" customWidth="1"/>
    <col min="15641" max="15661" width="0" style="299" hidden="1" customWidth="1"/>
    <col min="15662" max="15663" width="9.1328125" style="299" customWidth="1"/>
    <col min="15664" max="15872" width="9.1328125" style="299"/>
    <col min="15873" max="15873" width="4.86328125" style="299" customWidth="1"/>
    <col min="15874" max="15874" width="26.86328125" style="299" customWidth="1"/>
    <col min="15875" max="15875" width="11" style="299" customWidth="1"/>
    <col min="15876" max="15877" width="9.1328125" style="299" customWidth="1"/>
    <col min="15878" max="15878" width="11.3984375" style="299" customWidth="1"/>
    <col min="15879" max="15879" width="11.1328125" style="299" customWidth="1"/>
    <col min="15880" max="15880" width="9.59765625" style="299" customWidth="1"/>
    <col min="15881" max="15881" width="10.59765625" style="299" customWidth="1"/>
    <col min="15882" max="15882" width="9.1328125" style="299" customWidth="1"/>
    <col min="15883" max="15883" width="0" style="299" hidden="1" customWidth="1"/>
    <col min="15884" max="15884" width="9.265625" style="299" customWidth="1"/>
    <col min="15885" max="15885" width="6.59765625" style="299" customWidth="1"/>
    <col min="15886" max="15886" width="8.3984375" style="299" customWidth="1"/>
    <col min="15887" max="15887" width="9.1328125" style="299" customWidth="1"/>
    <col min="15888" max="15888" width="8.1328125" style="299" customWidth="1"/>
    <col min="15889" max="15889" width="11.1328125" style="299" customWidth="1"/>
    <col min="15890" max="15890" width="9.3984375" style="299" customWidth="1"/>
    <col min="15891" max="15891" width="0" style="299" hidden="1" customWidth="1"/>
    <col min="15892" max="15892" width="8.3984375" style="299" customWidth="1"/>
    <col min="15893" max="15893" width="7.59765625" style="299" customWidth="1"/>
    <col min="15894" max="15894" width="8.265625" style="299" customWidth="1"/>
    <col min="15895" max="15895" width="9.1328125" style="299" customWidth="1"/>
    <col min="15896" max="15896" width="8.3984375" style="299" customWidth="1"/>
    <col min="15897" max="15917" width="0" style="299" hidden="1" customWidth="1"/>
    <col min="15918" max="15919" width="9.1328125" style="299" customWidth="1"/>
    <col min="15920" max="16128" width="9.1328125" style="299"/>
    <col min="16129" max="16129" width="4.86328125" style="299" customWidth="1"/>
    <col min="16130" max="16130" width="26.86328125" style="299" customWidth="1"/>
    <col min="16131" max="16131" width="11" style="299" customWidth="1"/>
    <col min="16132" max="16133" width="9.1328125" style="299" customWidth="1"/>
    <col min="16134" max="16134" width="11.3984375" style="299" customWidth="1"/>
    <col min="16135" max="16135" width="11.1328125" style="299" customWidth="1"/>
    <col min="16136" max="16136" width="9.59765625" style="299" customWidth="1"/>
    <col min="16137" max="16137" width="10.59765625" style="299" customWidth="1"/>
    <col min="16138" max="16138" width="9.1328125" style="299" customWidth="1"/>
    <col min="16139" max="16139" width="0" style="299" hidden="1" customWidth="1"/>
    <col min="16140" max="16140" width="9.265625" style="299" customWidth="1"/>
    <col min="16141" max="16141" width="6.59765625" style="299" customWidth="1"/>
    <col min="16142" max="16142" width="8.3984375" style="299" customWidth="1"/>
    <col min="16143" max="16143" width="9.1328125" style="299" customWidth="1"/>
    <col min="16144" max="16144" width="8.1328125" style="299" customWidth="1"/>
    <col min="16145" max="16145" width="11.1328125" style="299" customWidth="1"/>
    <col min="16146" max="16146" width="9.3984375" style="299" customWidth="1"/>
    <col min="16147" max="16147" width="0" style="299" hidden="1" customWidth="1"/>
    <col min="16148" max="16148" width="8.3984375" style="299" customWidth="1"/>
    <col min="16149" max="16149" width="7.59765625" style="299" customWidth="1"/>
    <col min="16150" max="16150" width="8.265625" style="299" customWidth="1"/>
    <col min="16151" max="16151" width="9.1328125" style="299" customWidth="1"/>
    <col min="16152" max="16152" width="8.3984375" style="299" customWidth="1"/>
    <col min="16153" max="16173" width="0" style="299" hidden="1" customWidth="1"/>
    <col min="16174" max="16175" width="9.1328125" style="299" customWidth="1"/>
    <col min="16176" max="16384" width="9.1328125" style="299"/>
  </cols>
  <sheetData>
    <row r="1" spans="1:46" x14ac:dyDescent="0.4">
      <c r="A1" s="453" t="s">
        <v>60</v>
      </c>
      <c r="B1" s="453"/>
      <c r="C1" s="453"/>
      <c r="D1" s="453"/>
      <c r="I1" s="478"/>
      <c r="J1" s="478"/>
      <c r="K1" s="478"/>
      <c r="L1" s="478"/>
      <c r="M1" s="478"/>
      <c r="N1" s="478"/>
      <c r="O1" s="478"/>
      <c r="V1" s="476" t="s">
        <v>78</v>
      </c>
      <c r="W1" s="476"/>
      <c r="X1" s="476"/>
    </row>
    <row r="2" spans="1:46" x14ac:dyDescent="0.4">
      <c r="A2" s="453" t="s">
        <v>63</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301"/>
    </row>
    <row r="3" spans="1:46" x14ac:dyDescent="0.4">
      <c r="A3" s="301"/>
      <c r="B3" s="301"/>
      <c r="C3" s="301"/>
      <c r="D3" s="301"/>
      <c r="E3" s="301"/>
      <c r="F3" s="302"/>
      <c r="G3" s="301"/>
      <c r="H3" s="301"/>
      <c r="I3" s="302"/>
      <c r="J3" s="301"/>
      <c r="K3" s="301"/>
      <c r="L3" s="301"/>
      <c r="M3" s="302"/>
      <c r="N3" s="301"/>
      <c r="O3" s="302"/>
      <c r="P3" s="301"/>
      <c r="Q3" s="301"/>
      <c r="U3" s="303"/>
      <c r="V3" s="454" t="s">
        <v>61</v>
      </c>
      <c r="W3" s="454"/>
      <c r="X3" s="454"/>
      <c r="Y3" s="303"/>
      <c r="Z3" s="303"/>
      <c r="AA3" s="304"/>
      <c r="AB3" s="305"/>
      <c r="AC3" s="306"/>
      <c r="AD3" s="306"/>
      <c r="AE3" s="307"/>
      <c r="AF3" s="306"/>
      <c r="AG3" s="306"/>
      <c r="AH3" s="306"/>
      <c r="AI3" s="306"/>
      <c r="AJ3" s="306"/>
      <c r="AK3" s="306"/>
      <c r="AL3" s="306"/>
      <c r="AM3" s="306"/>
      <c r="AN3" s="306"/>
      <c r="AO3" s="306"/>
      <c r="AP3" s="306"/>
      <c r="AQ3" s="306"/>
      <c r="AR3" s="306"/>
    </row>
    <row r="4" spans="1:46" ht="18.75" customHeight="1" x14ac:dyDescent="0.4">
      <c r="A4" s="472" t="s">
        <v>1</v>
      </c>
      <c r="B4" s="308" t="s">
        <v>2</v>
      </c>
      <c r="C4" s="472" t="s">
        <v>3</v>
      </c>
      <c r="D4" s="475" t="s">
        <v>4</v>
      </c>
      <c r="E4" s="475"/>
      <c r="F4" s="475"/>
      <c r="G4" s="475"/>
      <c r="H4" s="475"/>
      <c r="I4" s="475"/>
      <c r="J4" s="475"/>
      <c r="K4" s="475"/>
      <c r="L4" s="475"/>
      <c r="M4" s="475"/>
      <c r="N4" s="475"/>
      <c r="O4" s="475"/>
      <c r="P4" s="475"/>
      <c r="Q4" s="475"/>
      <c r="R4" s="475"/>
      <c r="S4" s="475"/>
      <c r="T4" s="475"/>
      <c r="U4" s="475"/>
      <c r="V4" s="475"/>
      <c r="W4" s="475"/>
      <c r="X4" s="475"/>
      <c r="Y4" s="309"/>
      <c r="Z4" s="309"/>
      <c r="AA4" s="309"/>
      <c r="AB4" s="462" t="s">
        <v>5</v>
      </c>
      <c r="AC4" s="463">
        <v>1</v>
      </c>
      <c r="AD4" s="464" t="s">
        <v>6</v>
      </c>
      <c r="AE4" s="466"/>
      <c r="AF4" s="466"/>
      <c r="AG4" s="466"/>
      <c r="AH4" s="466"/>
      <c r="AI4" s="466"/>
      <c r="AJ4" s="466"/>
      <c r="AK4" s="466"/>
      <c r="AL4" s="466"/>
      <c r="AM4" s="466"/>
      <c r="AN4" s="466"/>
      <c r="AO4" s="466"/>
      <c r="AP4" s="466"/>
      <c r="AQ4" s="466"/>
      <c r="AR4" s="459"/>
    </row>
    <row r="5" spans="1:46" ht="18.75" customHeight="1" x14ac:dyDescent="0.4">
      <c r="A5" s="473"/>
      <c r="B5" s="310"/>
      <c r="C5" s="473"/>
      <c r="D5" s="457" t="s">
        <v>7</v>
      </c>
      <c r="E5" s="457" t="s">
        <v>8</v>
      </c>
      <c r="F5" s="457" t="s">
        <v>9</v>
      </c>
      <c r="G5" s="475" t="s">
        <v>10</v>
      </c>
      <c r="H5" s="475"/>
      <c r="I5" s="475"/>
      <c r="J5" s="475"/>
      <c r="K5" s="475"/>
      <c r="L5" s="457" t="s">
        <v>11</v>
      </c>
      <c r="M5" s="457" t="s">
        <v>12</v>
      </c>
      <c r="N5" s="457" t="s">
        <v>13</v>
      </c>
      <c r="O5" s="457" t="s">
        <v>14</v>
      </c>
      <c r="P5" s="457" t="s">
        <v>15</v>
      </c>
      <c r="Q5" s="457" t="s">
        <v>16</v>
      </c>
      <c r="R5" s="457" t="s">
        <v>17</v>
      </c>
      <c r="S5" s="477" t="s">
        <v>18</v>
      </c>
      <c r="T5" s="457" t="s">
        <v>19</v>
      </c>
      <c r="U5" s="457" t="s">
        <v>20</v>
      </c>
      <c r="V5" s="457" t="s">
        <v>21</v>
      </c>
      <c r="W5" s="477" t="s">
        <v>22</v>
      </c>
      <c r="X5" s="457" t="s">
        <v>23</v>
      </c>
      <c r="Y5" s="312"/>
      <c r="Z5" s="312"/>
      <c r="AA5" s="312"/>
      <c r="AB5" s="462"/>
      <c r="AC5" s="463"/>
      <c r="AD5" s="465"/>
      <c r="AE5" s="459" t="s">
        <v>10</v>
      </c>
      <c r="AF5" s="460"/>
      <c r="AG5" s="460"/>
      <c r="AH5" s="460"/>
      <c r="AI5" s="455" t="s">
        <v>11</v>
      </c>
      <c r="AJ5" s="455" t="s">
        <v>12</v>
      </c>
      <c r="AK5" s="455" t="s">
        <v>13</v>
      </c>
      <c r="AL5" s="455" t="s">
        <v>14</v>
      </c>
      <c r="AM5" s="455" t="s">
        <v>15</v>
      </c>
      <c r="AN5" s="468" t="s">
        <v>24</v>
      </c>
      <c r="AO5" s="455" t="s">
        <v>25</v>
      </c>
      <c r="AP5" s="455" t="s">
        <v>19</v>
      </c>
      <c r="AQ5" s="455" t="s">
        <v>21</v>
      </c>
      <c r="AR5" s="455" t="s">
        <v>26</v>
      </c>
    </row>
    <row r="6" spans="1:46" ht="21" customHeight="1" x14ac:dyDescent="0.4">
      <c r="A6" s="473"/>
      <c r="B6" s="310"/>
      <c r="C6" s="473"/>
      <c r="D6" s="458"/>
      <c r="E6" s="458"/>
      <c r="F6" s="458"/>
      <c r="G6" s="477" t="s">
        <v>27</v>
      </c>
      <c r="H6" s="477" t="s">
        <v>28</v>
      </c>
      <c r="I6" s="477" t="s">
        <v>29</v>
      </c>
      <c r="J6" s="477" t="s">
        <v>30</v>
      </c>
      <c r="K6" s="477" t="s">
        <v>31</v>
      </c>
      <c r="L6" s="458"/>
      <c r="M6" s="458"/>
      <c r="N6" s="458"/>
      <c r="O6" s="458"/>
      <c r="P6" s="458"/>
      <c r="Q6" s="457"/>
      <c r="R6" s="457"/>
      <c r="S6" s="477"/>
      <c r="T6" s="458"/>
      <c r="U6" s="458" t="s">
        <v>32</v>
      </c>
      <c r="V6" s="458"/>
      <c r="W6" s="477"/>
      <c r="X6" s="458"/>
      <c r="Y6" s="313"/>
      <c r="Z6" s="313"/>
      <c r="AA6" s="313"/>
      <c r="AB6" s="462"/>
      <c r="AC6" s="463"/>
      <c r="AD6" s="465"/>
      <c r="AE6" s="467" t="s">
        <v>27</v>
      </c>
      <c r="AF6" s="461" t="s">
        <v>28</v>
      </c>
      <c r="AG6" s="461" t="s">
        <v>33</v>
      </c>
      <c r="AH6" s="461" t="s">
        <v>34</v>
      </c>
      <c r="AI6" s="456"/>
      <c r="AJ6" s="456"/>
      <c r="AK6" s="456"/>
      <c r="AL6" s="456"/>
      <c r="AM6" s="456"/>
      <c r="AN6" s="469"/>
      <c r="AO6" s="456"/>
      <c r="AP6" s="456"/>
      <c r="AQ6" s="456"/>
      <c r="AR6" s="456"/>
    </row>
    <row r="7" spans="1:46" ht="21" customHeight="1" x14ac:dyDescent="0.4">
      <c r="A7" s="473"/>
      <c r="B7" s="470" t="s">
        <v>156</v>
      </c>
      <c r="C7" s="473"/>
      <c r="D7" s="458"/>
      <c r="E7" s="458"/>
      <c r="F7" s="458"/>
      <c r="G7" s="477"/>
      <c r="H7" s="477"/>
      <c r="I7" s="477"/>
      <c r="J7" s="477"/>
      <c r="K7" s="477"/>
      <c r="L7" s="458"/>
      <c r="M7" s="458"/>
      <c r="N7" s="458"/>
      <c r="O7" s="458"/>
      <c r="P7" s="458"/>
      <c r="Q7" s="457"/>
      <c r="R7" s="457"/>
      <c r="S7" s="477"/>
      <c r="T7" s="458"/>
      <c r="U7" s="458"/>
      <c r="V7" s="458"/>
      <c r="W7" s="477"/>
      <c r="X7" s="458"/>
      <c r="Y7" s="313"/>
      <c r="Z7" s="313"/>
      <c r="AA7" s="313"/>
      <c r="AB7" s="462"/>
      <c r="AC7" s="463"/>
      <c r="AD7" s="465"/>
      <c r="AE7" s="467"/>
      <c r="AF7" s="461"/>
      <c r="AG7" s="461"/>
      <c r="AH7" s="461"/>
      <c r="AI7" s="456"/>
      <c r="AJ7" s="456"/>
      <c r="AK7" s="456"/>
      <c r="AL7" s="456"/>
      <c r="AM7" s="456"/>
      <c r="AN7" s="469"/>
      <c r="AO7" s="456"/>
      <c r="AP7" s="456"/>
      <c r="AQ7" s="456"/>
      <c r="AR7" s="456"/>
    </row>
    <row r="8" spans="1:46" ht="33.75" customHeight="1" x14ac:dyDescent="0.4">
      <c r="A8" s="474"/>
      <c r="B8" s="471"/>
      <c r="C8" s="474"/>
      <c r="D8" s="458"/>
      <c r="E8" s="458"/>
      <c r="F8" s="458"/>
      <c r="G8" s="477"/>
      <c r="H8" s="477"/>
      <c r="I8" s="477"/>
      <c r="J8" s="477"/>
      <c r="K8" s="477"/>
      <c r="L8" s="458"/>
      <c r="M8" s="458"/>
      <c r="N8" s="458"/>
      <c r="O8" s="458"/>
      <c r="P8" s="458"/>
      <c r="Q8" s="457"/>
      <c r="R8" s="457"/>
      <c r="S8" s="477"/>
      <c r="T8" s="458"/>
      <c r="U8" s="458"/>
      <c r="V8" s="458"/>
      <c r="W8" s="477"/>
      <c r="X8" s="458"/>
      <c r="Y8" s="313"/>
      <c r="Z8" s="313"/>
      <c r="AA8" s="313"/>
      <c r="AB8" s="462"/>
      <c r="AC8" s="463"/>
      <c r="AD8" s="465"/>
      <c r="AE8" s="467"/>
      <c r="AF8" s="461"/>
      <c r="AG8" s="461"/>
      <c r="AH8" s="461"/>
      <c r="AI8" s="456"/>
      <c r="AJ8" s="456"/>
      <c r="AK8" s="456"/>
      <c r="AL8" s="456"/>
      <c r="AM8" s="456"/>
      <c r="AN8" s="469"/>
      <c r="AO8" s="456"/>
      <c r="AP8" s="456"/>
      <c r="AQ8" s="456"/>
      <c r="AR8" s="456"/>
    </row>
    <row r="9" spans="1:46" s="326" customFormat="1" ht="31.25" customHeight="1" x14ac:dyDescent="0.4">
      <c r="A9" s="365" t="s">
        <v>35</v>
      </c>
      <c r="B9" s="365" t="s">
        <v>36</v>
      </c>
      <c r="C9" s="314" t="s">
        <v>37</v>
      </c>
      <c r="D9" s="314" t="s">
        <v>38</v>
      </c>
      <c r="E9" s="314" t="s">
        <v>39</v>
      </c>
      <c r="F9" s="314" t="s">
        <v>40</v>
      </c>
      <c r="G9" s="314" t="s">
        <v>41</v>
      </c>
      <c r="H9" s="314" t="s">
        <v>42</v>
      </c>
      <c r="I9" s="314" t="s">
        <v>43</v>
      </c>
      <c r="J9" s="314" t="s">
        <v>44</v>
      </c>
      <c r="K9" s="314" t="s">
        <v>45</v>
      </c>
      <c r="L9" s="314" t="s">
        <v>46</v>
      </c>
      <c r="M9" s="314" t="s">
        <v>47</v>
      </c>
      <c r="N9" s="314" t="s">
        <v>48</v>
      </c>
      <c r="O9" s="314" t="s">
        <v>49</v>
      </c>
      <c r="P9" s="314" t="s">
        <v>50</v>
      </c>
      <c r="Q9" s="314" t="s">
        <v>51</v>
      </c>
      <c r="R9" s="314" t="s">
        <v>52</v>
      </c>
      <c r="S9" s="314" t="s">
        <v>53</v>
      </c>
      <c r="T9" s="314" t="s">
        <v>54</v>
      </c>
      <c r="U9" s="314" t="s">
        <v>55</v>
      </c>
      <c r="V9" s="314" t="s">
        <v>56</v>
      </c>
      <c r="W9" s="314" t="s">
        <v>57</v>
      </c>
      <c r="X9" s="314" t="s">
        <v>58</v>
      </c>
      <c r="Y9" s="366"/>
      <c r="Z9" s="366"/>
      <c r="AA9" s="367"/>
      <c r="AB9" s="366" t="s">
        <v>54</v>
      </c>
      <c r="AC9" s="366" t="s">
        <v>54</v>
      </c>
      <c r="AD9" s="368" t="s">
        <v>54</v>
      </c>
      <c r="AE9" s="366" t="s">
        <v>37</v>
      </c>
      <c r="AF9" s="366" t="s">
        <v>38</v>
      </c>
      <c r="AG9" s="366" t="s">
        <v>39</v>
      </c>
      <c r="AH9" s="366" t="s">
        <v>40</v>
      </c>
      <c r="AI9" s="366" t="s">
        <v>46</v>
      </c>
      <c r="AJ9" s="366" t="s">
        <v>47</v>
      </c>
      <c r="AK9" s="366" t="s">
        <v>48</v>
      </c>
      <c r="AL9" s="366" t="s">
        <v>49</v>
      </c>
      <c r="AM9" s="366" t="s">
        <v>50</v>
      </c>
      <c r="AN9" s="366" t="s">
        <v>51</v>
      </c>
      <c r="AO9" s="366" t="s">
        <v>52</v>
      </c>
      <c r="AP9" s="366" t="s">
        <v>54</v>
      </c>
      <c r="AQ9" s="366" t="s">
        <v>55</v>
      </c>
      <c r="AR9" s="366" t="s">
        <v>56</v>
      </c>
    </row>
    <row r="10" spans="1:46" s="267" customFormat="1" ht="39.85" customHeight="1" x14ac:dyDescent="0.4">
      <c r="A10" s="315">
        <v>1</v>
      </c>
      <c r="B10" s="315" t="s">
        <v>66</v>
      </c>
      <c r="C10" s="316">
        <f>D10+E10+F10+L10+M10+N10+O10+P10+Q10+T10+U10+V10+X10+R10</f>
        <v>25425</v>
      </c>
      <c r="D10" s="316">
        <v>0</v>
      </c>
      <c r="E10" s="316">
        <v>340</v>
      </c>
      <c r="F10" s="316">
        <f t="shared" ref="F10" si="0">SUM(G10:J10)</f>
        <v>22000</v>
      </c>
      <c r="G10" s="316">
        <v>12785</v>
      </c>
      <c r="H10" s="316">
        <v>900</v>
      </c>
      <c r="I10" s="316">
        <v>5</v>
      </c>
      <c r="J10" s="316">
        <v>8310</v>
      </c>
      <c r="K10" s="316">
        <v>8000</v>
      </c>
      <c r="L10" s="317">
        <v>930</v>
      </c>
      <c r="M10" s="317"/>
      <c r="N10" s="317">
        <v>5</v>
      </c>
      <c r="O10" s="317">
        <v>640</v>
      </c>
      <c r="P10" s="317">
        <v>350</v>
      </c>
      <c r="Q10" s="317">
        <v>200</v>
      </c>
      <c r="R10" s="317">
        <v>900</v>
      </c>
      <c r="S10" s="317">
        <v>630</v>
      </c>
      <c r="T10" s="317">
        <v>10</v>
      </c>
      <c r="U10" s="317"/>
      <c r="V10" s="317">
        <v>50</v>
      </c>
      <c r="W10" s="317">
        <v>40</v>
      </c>
      <c r="X10" s="316">
        <v>0</v>
      </c>
      <c r="Y10" s="318"/>
      <c r="Z10" s="318"/>
      <c r="AA10" s="319"/>
      <c r="AB10" s="320">
        <f t="shared" ref="AB10" si="1">+AE10+AF10+AG10+AL10+AN10+AP10</f>
        <v>14509</v>
      </c>
      <c r="AC10" s="321">
        <f t="shared" ref="AC10" si="2">AH10+AI10+AJ10+AK10+AM10+AO10+AQ10+AR10</f>
        <v>3248</v>
      </c>
      <c r="AD10" s="322">
        <f t="shared" ref="AD10" si="3">AB10+AC10</f>
        <v>17757</v>
      </c>
      <c r="AE10" s="323">
        <f t="shared" ref="AE10:AG10" si="4">G10</f>
        <v>12785</v>
      </c>
      <c r="AF10" s="323">
        <f t="shared" si="4"/>
        <v>900</v>
      </c>
      <c r="AG10" s="323">
        <f t="shared" si="4"/>
        <v>5</v>
      </c>
      <c r="AH10" s="323">
        <f>ROUND((J10-K10)*50%,0)</f>
        <v>155</v>
      </c>
      <c r="AI10" s="323">
        <f t="shared" ref="AI10:AL10" si="5">+L10</f>
        <v>930</v>
      </c>
      <c r="AJ10" s="323">
        <f t="shared" si="5"/>
        <v>0</v>
      </c>
      <c r="AK10" s="323">
        <f t="shared" si="5"/>
        <v>5</v>
      </c>
      <c r="AL10" s="323">
        <f t="shared" si="5"/>
        <v>640</v>
      </c>
      <c r="AM10" s="324">
        <f t="shared" ref="AM10" si="6">P10</f>
        <v>350</v>
      </c>
      <c r="AN10" s="323">
        <f t="shared" ref="AN10" si="7">Q10*85%</f>
        <v>170</v>
      </c>
      <c r="AO10" s="323">
        <f>2160*30%+1150</f>
        <v>1798</v>
      </c>
      <c r="AP10" s="323">
        <f t="shared" ref="AP10" si="8">ROUND(T10*85%,0)</f>
        <v>9</v>
      </c>
      <c r="AQ10" s="325">
        <f t="shared" ref="AQ10" si="9">(V10-W10)</f>
        <v>10</v>
      </c>
      <c r="AR10" s="323">
        <f t="shared" ref="AR10" si="10">+X10</f>
        <v>0</v>
      </c>
      <c r="AS10" s="224"/>
      <c r="AT10" s="224"/>
    </row>
  </sheetData>
  <mergeCells count="50">
    <mergeCell ref="V1:X1"/>
    <mergeCell ref="G6:G8"/>
    <mergeCell ref="H6:H8"/>
    <mergeCell ref="I6:I8"/>
    <mergeCell ref="J6:J8"/>
    <mergeCell ref="K6:K8"/>
    <mergeCell ref="R5:R8"/>
    <mergeCell ref="S5:S8"/>
    <mergeCell ref="T5:T8"/>
    <mergeCell ref="U5:U8"/>
    <mergeCell ref="V5:V8"/>
    <mergeCell ref="W5:W8"/>
    <mergeCell ref="I1:O1"/>
    <mergeCell ref="A2:AA2"/>
    <mergeCell ref="A4:A8"/>
    <mergeCell ref="M5:M8"/>
    <mergeCell ref="B7:B8"/>
    <mergeCell ref="D5:D8"/>
    <mergeCell ref="C4:C8"/>
    <mergeCell ref="D4:X4"/>
    <mergeCell ref="N5:N8"/>
    <mergeCell ref="O5:O8"/>
    <mergeCell ref="P5:P8"/>
    <mergeCell ref="Q5:Q8"/>
    <mergeCell ref="E5:E8"/>
    <mergeCell ref="F5:F8"/>
    <mergeCell ref="G5:K5"/>
    <mergeCell ref="L5:L8"/>
    <mergeCell ref="AE4:AR4"/>
    <mergeCell ref="AE6:AE8"/>
    <mergeCell ref="AM5:AM8"/>
    <mergeCell ref="AN5:AN8"/>
    <mergeCell ref="AO5:AO8"/>
    <mergeCell ref="AP5:AP8"/>
    <mergeCell ref="A1:D1"/>
    <mergeCell ref="V3:X3"/>
    <mergeCell ref="AQ5:AQ8"/>
    <mergeCell ref="AR5:AR8"/>
    <mergeCell ref="X5:X8"/>
    <mergeCell ref="AE5:AH5"/>
    <mergeCell ref="AI5:AI8"/>
    <mergeCell ref="AJ5:AJ8"/>
    <mergeCell ref="AK5:AK8"/>
    <mergeCell ref="AL5:AL8"/>
    <mergeCell ref="AF6:AF8"/>
    <mergeCell ref="AG6:AG8"/>
    <mergeCell ref="AH6:AH8"/>
    <mergeCell ref="AB4:AB8"/>
    <mergeCell ref="AC4:AC8"/>
    <mergeCell ref="AD4:AD8"/>
  </mergeCells>
  <pageMargins left="0.24" right="0.35433070866141736" top="0.59055118110236227" bottom="0.74803149606299213" header="0.31496062992125984" footer="0.31496062992125984"/>
  <pageSetup paperSize="9" scale="6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workbookViewId="0">
      <selection activeCell="D15" sqref="D15"/>
    </sheetView>
  </sheetViews>
  <sheetFormatPr defaultColWidth="8.86328125" defaultRowHeight="13.15" x14ac:dyDescent="0.4"/>
  <cols>
    <col min="1" max="1" width="3.86328125" style="327" customWidth="1"/>
    <col min="2" max="2" width="27.265625" style="327" bestFit="1" customWidth="1"/>
    <col min="3" max="3" width="13.1328125" style="327" customWidth="1"/>
    <col min="4" max="4" width="11.59765625" style="327" customWidth="1"/>
    <col min="5" max="5" width="9.86328125" style="327" customWidth="1"/>
    <col min="6" max="6" width="8.1328125" style="327" customWidth="1"/>
    <col min="7" max="7" width="7.73046875" style="327" customWidth="1"/>
    <col min="8" max="10" width="8.86328125" style="327"/>
    <col min="11" max="11" width="12.265625" style="327" customWidth="1"/>
    <col min="12" max="12" width="10.1328125" style="327" bestFit="1" customWidth="1"/>
    <col min="13" max="13" width="8.265625" style="327" customWidth="1"/>
    <col min="14" max="14" width="8.86328125" style="327"/>
    <col min="15" max="15" width="8.86328125" style="327" customWidth="1"/>
    <col min="16" max="17" width="10.73046875" style="327" customWidth="1"/>
    <col min="18" max="18" width="10" style="327" customWidth="1"/>
    <col min="19" max="20" width="8.86328125" style="327" customWidth="1"/>
    <col min="21" max="256" width="8.86328125" style="327"/>
    <col min="257" max="257" width="3.86328125" style="327" customWidth="1"/>
    <col min="258" max="258" width="27.265625" style="327" bestFit="1" customWidth="1"/>
    <col min="259" max="259" width="13.1328125" style="327" customWidth="1"/>
    <col min="260" max="260" width="11.59765625" style="327" customWidth="1"/>
    <col min="261" max="261" width="9.86328125" style="327" customWidth="1"/>
    <col min="262" max="262" width="8.1328125" style="327" customWidth="1"/>
    <col min="263" max="263" width="7.73046875" style="327" customWidth="1"/>
    <col min="264" max="266" width="8.86328125" style="327"/>
    <col min="267" max="267" width="12.265625" style="327" customWidth="1"/>
    <col min="268" max="268" width="10.1328125" style="327" bestFit="1" customWidth="1"/>
    <col min="269" max="269" width="8.265625" style="327" customWidth="1"/>
    <col min="270" max="270" width="8.86328125" style="327"/>
    <col min="271" max="271" width="8.86328125" style="327" customWidth="1"/>
    <col min="272" max="273" width="10.73046875" style="327" customWidth="1"/>
    <col min="274" max="274" width="10" style="327" customWidth="1"/>
    <col min="275" max="276" width="8.86328125" style="327" customWidth="1"/>
    <col min="277" max="512" width="8.86328125" style="327"/>
    <col min="513" max="513" width="3.86328125" style="327" customWidth="1"/>
    <col min="514" max="514" width="27.265625" style="327" bestFit="1" customWidth="1"/>
    <col min="515" max="515" width="13.1328125" style="327" customWidth="1"/>
    <col min="516" max="516" width="11.59765625" style="327" customWidth="1"/>
    <col min="517" max="517" width="9.86328125" style="327" customWidth="1"/>
    <col min="518" max="518" width="8.1328125" style="327" customWidth="1"/>
    <col min="519" max="519" width="7.73046875" style="327" customWidth="1"/>
    <col min="520" max="522" width="8.86328125" style="327"/>
    <col min="523" max="523" width="12.265625" style="327" customWidth="1"/>
    <col min="524" max="524" width="10.1328125" style="327" bestFit="1" customWidth="1"/>
    <col min="525" max="525" width="8.265625" style="327" customWidth="1"/>
    <col min="526" max="526" width="8.86328125" style="327"/>
    <col min="527" max="527" width="8.86328125" style="327" customWidth="1"/>
    <col min="528" max="529" width="10.73046875" style="327" customWidth="1"/>
    <col min="530" max="530" width="10" style="327" customWidth="1"/>
    <col min="531" max="532" width="8.86328125" style="327" customWidth="1"/>
    <col min="533" max="768" width="8.86328125" style="327"/>
    <col min="769" max="769" width="3.86328125" style="327" customWidth="1"/>
    <col min="770" max="770" width="27.265625" style="327" bestFit="1" customWidth="1"/>
    <col min="771" max="771" width="13.1328125" style="327" customWidth="1"/>
    <col min="772" max="772" width="11.59765625" style="327" customWidth="1"/>
    <col min="773" max="773" width="9.86328125" style="327" customWidth="1"/>
    <col min="774" max="774" width="8.1328125" style="327" customWidth="1"/>
    <col min="775" max="775" width="7.73046875" style="327" customWidth="1"/>
    <col min="776" max="778" width="8.86328125" style="327"/>
    <col min="779" max="779" width="12.265625" style="327" customWidth="1"/>
    <col min="780" max="780" width="10.1328125" style="327" bestFit="1" customWidth="1"/>
    <col min="781" max="781" width="8.265625" style="327" customWidth="1"/>
    <col min="782" max="782" width="8.86328125" style="327"/>
    <col min="783" max="783" width="8.86328125" style="327" customWidth="1"/>
    <col min="784" max="785" width="10.73046875" style="327" customWidth="1"/>
    <col min="786" max="786" width="10" style="327" customWidth="1"/>
    <col min="787" max="788" width="8.86328125" style="327" customWidth="1"/>
    <col min="789" max="1024" width="8.86328125" style="327"/>
    <col min="1025" max="1025" width="3.86328125" style="327" customWidth="1"/>
    <col min="1026" max="1026" width="27.265625" style="327" bestFit="1" customWidth="1"/>
    <col min="1027" max="1027" width="13.1328125" style="327" customWidth="1"/>
    <col min="1028" max="1028" width="11.59765625" style="327" customWidth="1"/>
    <col min="1029" max="1029" width="9.86328125" style="327" customWidth="1"/>
    <col min="1030" max="1030" width="8.1328125" style="327" customWidth="1"/>
    <col min="1031" max="1031" width="7.73046875" style="327" customWidth="1"/>
    <col min="1032" max="1034" width="8.86328125" style="327"/>
    <col min="1035" max="1035" width="12.265625" style="327" customWidth="1"/>
    <col min="1036" max="1036" width="10.1328125" style="327" bestFit="1" customWidth="1"/>
    <col min="1037" max="1037" width="8.265625" style="327" customWidth="1"/>
    <col min="1038" max="1038" width="8.86328125" style="327"/>
    <col min="1039" max="1039" width="8.86328125" style="327" customWidth="1"/>
    <col min="1040" max="1041" width="10.73046875" style="327" customWidth="1"/>
    <col min="1042" max="1042" width="10" style="327" customWidth="1"/>
    <col min="1043" max="1044" width="8.86328125" style="327" customWidth="1"/>
    <col min="1045" max="1280" width="8.86328125" style="327"/>
    <col min="1281" max="1281" width="3.86328125" style="327" customWidth="1"/>
    <col min="1282" max="1282" width="27.265625" style="327" bestFit="1" customWidth="1"/>
    <col min="1283" max="1283" width="13.1328125" style="327" customWidth="1"/>
    <col min="1284" max="1284" width="11.59765625" style="327" customWidth="1"/>
    <col min="1285" max="1285" width="9.86328125" style="327" customWidth="1"/>
    <col min="1286" max="1286" width="8.1328125" style="327" customWidth="1"/>
    <col min="1287" max="1287" width="7.73046875" style="327" customWidth="1"/>
    <col min="1288" max="1290" width="8.86328125" style="327"/>
    <col min="1291" max="1291" width="12.265625" style="327" customWidth="1"/>
    <col min="1292" max="1292" width="10.1328125" style="327" bestFit="1" customWidth="1"/>
    <col min="1293" max="1293" width="8.265625" style="327" customWidth="1"/>
    <col min="1294" max="1294" width="8.86328125" style="327"/>
    <col min="1295" max="1295" width="8.86328125" style="327" customWidth="1"/>
    <col min="1296" max="1297" width="10.73046875" style="327" customWidth="1"/>
    <col min="1298" max="1298" width="10" style="327" customWidth="1"/>
    <col min="1299" max="1300" width="8.86328125" style="327" customWidth="1"/>
    <col min="1301" max="1536" width="8.86328125" style="327"/>
    <col min="1537" max="1537" width="3.86328125" style="327" customWidth="1"/>
    <col min="1538" max="1538" width="27.265625" style="327" bestFit="1" customWidth="1"/>
    <col min="1539" max="1539" width="13.1328125" style="327" customWidth="1"/>
    <col min="1540" max="1540" width="11.59765625" style="327" customWidth="1"/>
    <col min="1541" max="1541" width="9.86328125" style="327" customWidth="1"/>
    <col min="1542" max="1542" width="8.1328125" style="327" customWidth="1"/>
    <col min="1543" max="1543" width="7.73046875" style="327" customWidth="1"/>
    <col min="1544" max="1546" width="8.86328125" style="327"/>
    <col min="1547" max="1547" width="12.265625" style="327" customWidth="1"/>
    <col min="1548" max="1548" width="10.1328125" style="327" bestFit="1" customWidth="1"/>
    <col min="1549" max="1549" width="8.265625" style="327" customWidth="1"/>
    <col min="1550" max="1550" width="8.86328125" style="327"/>
    <col min="1551" max="1551" width="8.86328125" style="327" customWidth="1"/>
    <col min="1552" max="1553" width="10.73046875" style="327" customWidth="1"/>
    <col min="1554" max="1554" width="10" style="327" customWidth="1"/>
    <col min="1555" max="1556" width="8.86328125" style="327" customWidth="1"/>
    <col min="1557" max="1792" width="8.86328125" style="327"/>
    <col min="1793" max="1793" width="3.86328125" style="327" customWidth="1"/>
    <col min="1794" max="1794" width="27.265625" style="327" bestFit="1" customWidth="1"/>
    <col min="1795" max="1795" width="13.1328125" style="327" customWidth="1"/>
    <col min="1796" max="1796" width="11.59765625" style="327" customWidth="1"/>
    <col min="1797" max="1797" width="9.86328125" style="327" customWidth="1"/>
    <col min="1798" max="1798" width="8.1328125" style="327" customWidth="1"/>
    <col min="1799" max="1799" width="7.73046875" style="327" customWidth="1"/>
    <col min="1800" max="1802" width="8.86328125" style="327"/>
    <col min="1803" max="1803" width="12.265625" style="327" customWidth="1"/>
    <col min="1804" max="1804" width="10.1328125" style="327" bestFit="1" customWidth="1"/>
    <col min="1805" max="1805" width="8.265625" style="327" customWidth="1"/>
    <col min="1806" max="1806" width="8.86328125" style="327"/>
    <col min="1807" max="1807" width="8.86328125" style="327" customWidth="1"/>
    <col min="1808" max="1809" width="10.73046875" style="327" customWidth="1"/>
    <col min="1810" max="1810" width="10" style="327" customWidth="1"/>
    <col min="1811" max="1812" width="8.86328125" style="327" customWidth="1"/>
    <col min="1813" max="2048" width="8.86328125" style="327"/>
    <col min="2049" max="2049" width="3.86328125" style="327" customWidth="1"/>
    <col min="2050" max="2050" width="27.265625" style="327" bestFit="1" customWidth="1"/>
    <col min="2051" max="2051" width="13.1328125" style="327" customWidth="1"/>
    <col min="2052" max="2052" width="11.59765625" style="327" customWidth="1"/>
    <col min="2053" max="2053" width="9.86328125" style="327" customWidth="1"/>
    <col min="2054" max="2054" width="8.1328125" style="327" customWidth="1"/>
    <col min="2055" max="2055" width="7.73046875" style="327" customWidth="1"/>
    <col min="2056" max="2058" width="8.86328125" style="327"/>
    <col min="2059" max="2059" width="12.265625" style="327" customWidth="1"/>
    <col min="2060" max="2060" width="10.1328125" style="327" bestFit="1" customWidth="1"/>
    <col min="2061" max="2061" width="8.265625" style="327" customWidth="1"/>
    <col min="2062" max="2062" width="8.86328125" style="327"/>
    <col min="2063" max="2063" width="8.86328125" style="327" customWidth="1"/>
    <col min="2064" max="2065" width="10.73046875" style="327" customWidth="1"/>
    <col min="2066" max="2066" width="10" style="327" customWidth="1"/>
    <col min="2067" max="2068" width="8.86328125" style="327" customWidth="1"/>
    <col min="2069" max="2304" width="8.86328125" style="327"/>
    <col min="2305" max="2305" width="3.86328125" style="327" customWidth="1"/>
    <col min="2306" max="2306" width="27.265625" style="327" bestFit="1" customWidth="1"/>
    <col min="2307" max="2307" width="13.1328125" style="327" customWidth="1"/>
    <col min="2308" max="2308" width="11.59765625" style="327" customWidth="1"/>
    <col min="2309" max="2309" width="9.86328125" style="327" customWidth="1"/>
    <col min="2310" max="2310" width="8.1328125" style="327" customWidth="1"/>
    <col min="2311" max="2311" width="7.73046875" style="327" customWidth="1"/>
    <col min="2312" max="2314" width="8.86328125" style="327"/>
    <col min="2315" max="2315" width="12.265625" style="327" customWidth="1"/>
    <col min="2316" max="2316" width="10.1328125" style="327" bestFit="1" customWidth="1"/>
    <col min="2317" max="2317" width="8.265625" style="327" customWidth="1"/>
    <col min="2318" max="2318" width="8.86328125" style="327"/>
    <col min="2319" max="2319" width="8.86328125" style="327" customWidth="1"/>
    <col min="2320" max="2321" width="10.73046875" style="327" customWidth="1"/>
    <col min="2322" max="2322" width="10" style="327" customWidth="1"/>
    <col min="2323" max="2324" width="8.86328125" style="327" customWidth="1"/>
    <col min="2325" max="2560" width="8.86328125" style="327"/>
    <col min="2561" max="2561" width="3.86328125" style="327" customWidth="1"/>
    <col min="2562" max="2562" width="27.265625" style="327" bestFit="1" customWidth="1"/>
    <col min="2563" max="2563" width="13.1328125" style="327" customWidth="1"/>
    <col min="2564" max="2564" width="11.59765625" style="327" customWidth="1"/>
    <col min="2565" max="2565" width="9.86328125" style="327" customWidth="1"/>
    <col min="2566" max="2566" width="8.1328125" style="327" customWidth="1"/>
    <col min="2567" max="2567" width="7.73046875" style="327" customWidth="1"/>
    <col min="2568" max="2570" width="8.86328125" style="327"/>
    <col min="2571" max="2571" width="12.265625" style="327" customWidth="1"/>
    <col min="2572" max="2572" width="10.1328125" style="327" bestFit="1" customWidth="1"/>
    <col min="2573" max="2573" width="8.265625" style="327" customWidth="1"/>
    <col min="2574" max="2574" width="8.86328125" style="327"/>
    <col min="2575" max="2575" width="8.86328125" style="327" customWidth="1"/>
    <col min="2576" max="2577" width="10.73046875" style="327" customWidth="1"/>
    <col min="2578" max="2578" width="10" style="327" customWidth="1"/>
    <col min="2579" max="2580" width="8.86328125" style="327" customWidth="1"/>
    <col min="2581" max="2816" width="8.86328125" style="327"/>
    <col min="2817" max="2817" width="3.86328125" style="327" customWidth="1"/>
    <col min="2818" max="2818" width="27.265625" style="327" bestFit="1" customWidth="1"/>
    <col min="2819" max="2819" width="13.1328125" style="327" customWidth="1"/>
    <col min="2820" max="2820" width="11.59765625" style="327" customWidth="1"/>
    <col min="2821" max="2821" width="9.86328125" style="327" customWidth="1"/>
    <col min="2822" max="2822" width="8.1328125" style="327" customWidth="1"/>
    <col min="2823" max="2823" width="7.73046875" style="327" customWidth="1"/>
    <col min="2824" max="2826" width="8.86328125" style="327"/>
    <col min="2827" max="2827" width="12.265625" style="327" customWidth="1"/>
    <col min="2828" max="2828" width="10.1328125" style="327" bestFit="1" customWidth="1"/>
    <col min="2829" max="2829" width="8.265625" style="327" customWidth="1"/>
    <col min="2830" max="2830" width="8.86328125" style="327"/>
    <col min="2831" max="2831" width="8.86328125" style="327" customWidth="1"/>
    <col min="2832" max="2833" width="10.73046875" style="327" customWidth="1"/>
    <col min="2834" max="2834" width="10" style="327" customWidth="1"/>
    <col min="2835" max="2836" width="8.86328125" style="327" customWidth="1"/>
    <col min="2837" max="3072" width="8.86328125" style="327"/>
    <col min="3073" max="3073" width="3.86328125" style="327" customWidth="1"/>
    <col min="3074" max="3074" width="27.265625" style="327" bestFit="1" customWidth="1"/>
    <col min="3075" max="3075" width="13.1328125" style="327" customWidth="1"/>
    <col min="3076" max="3076" width="11.59765625" style="327" customWidth="1"/>
    <col min="3077" max="3077" width="9.86328125" style="327" customWidth="1"/>
    <col min="3078" max="3078" width="8.1328125" style="327" customWidth="1"/>
    <col min="3079" max="3079" width="7.73046875" style="327" customWidth="1"/>
    <col min="3080" max="3082" width="8.86328125" style="327"/>
    <col min="3083" max="3083" width="12.265625" style="327" customWidth="1"/>
    <col min="3084" max="3084" width="10.1328125" style="327" bestFit="1" customWidth="1"/>
    <col min="3085" max="3085" width="8.265625" style="327" customWidth="1"/>
    <col min="3086" max="3086" width="8.86328125" style="327"/>
    <col min="3087" max="3087" width="8.86328125" style="327" customWidth="1"/>
    <col min="3088" max="3089" width="10.73046875" style="327" customWidth="1"/>
    <col min="3090" max="3090" width="10" style="327" customWidth="1"/>
    <col min="3091" max="3092" width="8.86328125" style="327" customWidth="1"/>
    <col min="3093" max="3328" width="8.86328125" style="327"/>
    <col min="3329" max="3329" width="3.86328125" style="327" customWidth="1"/>
    <col min="3330" max="3330" width="27.265625" style="327" bestFit="1" customWidth="1"/>
    <col min="3331" max="3331" width="13.1328125" style="327" customWidth="1"/>
    <col min="3332" max="3332" width="11.59765625" style="327" customWidth="1"/>
    <col min="3333" max="3333" width="9.86328125" style="327" customWidth="1"/>
    <col min="3334" max="3334" width="8.1328125" style="327" customWidth="1"/>
    <col min="3335" max="3335" width="7.73046875" style="327" customWidth="1"/>
    <col min="3336" max="3338" width="8.86328125" style="327"/>
    <col min="3339" max="3339" width="12.265625" style="327" customWidth="1"/>
    <col min="3340" max="3340" width="10.1328125" style="327" bestFit="1" customWidth="1"/>
    <col min="3341" max="3341" width="8.265625" style="327" customWidth="1"/>
    <col min="3342" max="3342" width="8.86328125" style="327"/>
    <col min="3343" max="3343" width="8.86328125" style="327" customWidth="1"/>
    <col min="3344" max="3345" width="10.73046875" style="327" customWidth="1"/>
    <col min="3346" max="3346" width="10" style="327" customWidth="1"/>
    <col min="3347" max="3348" width="8.86328125" style="327" customWidth="1"/>
    <col min="3349" max="3584" width="8.86328125" style="327"/>
    <col min="3585" max="3585" width="3.86328125" style="327" customWidth="1"/>
    <col min="3586" max="3586" width="27.265625" style="327" bestFit="1" customWidth="1"/>
    <col min="3587" max="3587" width="13.1328125" style="327" customWidth="1"/>
    <col min="3588" max="3588" width="11.59765625" style="327" customWidth="1"/>
    <col min="3589" max="3589" width="9.86328125" style="327" customWidth="1"/>
    <col min="3590" max="3590" width="8.1328125" style="327" customWidth="1"/>
    <col min="3591" max="3591" width="7.73046875" style="327" customWidth="1"/>
    <col min="3592" max="3594" width="8.86328125" style="327"/>
    <col min="3595" max="3595" width="12.265625" style="327" customWidth="1"/>
    <col min="3596" max="3596" width="10.1328125" style="327" bestFit="1" customWidth="1"/>
    <col min="3597" max="3597" width="8.265625" style="327" customWidth="1"/>
    <col min="3598" max="3598" width="8.86328125" style="327"/>
    <col min="3599" max="3599" width="8.86328125" style="327" customWidth="1"/>
    <col min="3600" max="3601" width="10.73046875" style="327" customWidth="1"/>
    <col min="3602" max="3602" width="10" style="327" customWidth="1"/>
    <col min="3603" max="3604" width="8.86328125" style="327" customWidth="1"/>
    <col min="3605" max="3840" width="8.86328125" style="327"/>
    <col min="3841" max="3841" width="3.86328125" style="327" customWidth="1"/>
    <col min="3842" max="3842" width="27.265625" style="327" bestFit="1" customWidth="1"/>
    <col min="3843" max="3843" width="13.1328125" style="327" customWidth="1"/>
    <col min="3844" max="3844" width="11.59765625" style="327" customWidth="1"/>
    <col min="3845" max="3845" width="9.86328125" style="327" customWidth="1"/>
    <col min="3846" max="3846" width="8.1328125" style="327" customWidth="1"/>
    <col min="3847" max="3847" width="7.73046875" style="327" customWidth="1"/>
    <col min="3848" max="3850" width="8.86328125" style="327"/>
    <col min="3851" max="3851" width="12.265625" style="327" customWidth="1"/>
    <col min="3852" max="3852" width="10.1328125" style="327" bestFit="1" customWidth="1"/>
    <col min="3853" max="3853" width="8.265625" style="327" customWidth="1"/>
    <col min="3854" max="3854" width="8.86328125" style="327"/>
    <col min="3855" max="3855" width="8.86328125" style="327" customWidth="1"/>
    <col min="3856" max="3857" width="10.73046875" style="327" customWidth="1"/>
    <col min="3858" max="3858" width="10" style="327" customWidth="1"/>
    <col min="3859" max="3860" width="8.86328125" style="327" customWidth="1"/>
    <col min="3861" max="4096" width="8.86328125" style="327"/>
    <col min="4097" max="4097" width="3.86328125" style="327" customWidth="1"/>
    <col min="4098" max="4098" width="27.265625" style="327" bestFit="1" customWidth="1"/>
    <col min="4099" max="4099" width="13.1328125" style="327" customWidth="1"/>
    <col min="4100" max="4100" width="11.59765625" style="327" customWidth="1"/>
    <col min="4101" max="4101" width="9.86328125" style="327" customWidth="1"/>
    <col min="4102" max="4102" width="8.1328125" style="327" customWidth="1"/>
    <col min="4103" max="4103" width="7.73046875" style="327" customWidth="1"/>
    <col min="4104" max="4106" width="8.86328125" style="327"/>
    <col min="4107" max="4107" width="12.265625" style="327" customWidth="1"/>
    <col min="4108" max="4108" width="10.1328125" style="327" bestFit="1" customWidth="1"/>
    <col min="4109" max="4109" width="8.265625" style="327" customWidth="1"/>
    <col min="4110" max="4110" width="8.86328125" style="327"/>
    <col min="4111" max="4111" width="8.86328125" style="327" customWidth="1"/>
    <col min="4112" max="4113" width="10.73046875" style="327" customWidth="1"/>
    <col min="4114" max="4114" width="10" style="327" customWidth="1"/>
    <col min="4115" max="4116" width="8.86328125" style="327" customWidth="1"/>
    <col min="4117" max="4352" width="8.86328125" style="327"/>
    <col min="4353" max="4353" width="3.86328125" style="327" customWidth="1"/>
    <col min="4354" max="4354" width="27.265625" style="327" bestFit="1" customWidth="1"/>
    <col min="4355" max="4355" width="13.1328125" style="327" customWidth="1"/>
    <col min="4356" max="4356" width="11.59765625" style="327" customWidth="1"/>
    <col min="4357" max="4357" width="9.86328125" style="327" customWidth="1"/>
    <col min="4358" max="4358" width="8.1328125" style="327" customWidth="1"/>
    <col min="4359" max="4359" width="7.73046875" style="327" customWidth="1"/>
    <col min="4360" max="4362" width="8.86328125" style="327"/>
    <col min="4363" max="4363" width="12.265625" style="327" customWidth="1"/>
    <col min="4364" max="4364" width="10.1328125" style="327" bestFit="1" customWidth="1"/>
    <col min="4365" max="4365" width="8.265625" style="327" customWidth="1"/>
    <col min="4366" max="4366" width="8.86328125" style="327"/>
    <col min="4367" max="4367" width="8.86328125" style="327" customWidth="1"/>
    <col min="4368" max="4369" width="10.73046875" style="327" customWidth="1"/>
    <col min="4370" max="4370" width="10" style="327" customWidth="1"/>
    <col min="4371" max="4372" width="8.86328125" style="327" customWidth="1"/>
    <col min="4373" max="4608" width="8.86328125" style="327"/>
    <col min="4609" max="4609" width="3.86328125" style="327" customWidth="1"/>
    <col min="4610" max="4610" width="27.265625" style="327" bestFit="1" customWidth="1"/>
    <col min="4611" max="4611" width="13.1328125" style="327" customWidth="1"/>
    <col min="4612" max="4612" width="11.59765625" style="327" customWidth="1"/>
    <col min="4613" max="4613" width="9.86328125" style="327" customWidth="1"/>
    <col min="4614" max="4614" width="8.1328125" style="327" customWidth="1"/>
    <col min="4615" max="4615" width="7.73046875" style="327" customWidth="1"/>
    <col min="4616" max="4618" width="8.86328125" style="327"/>
    <col min="4619" max="4619" width="12.265625" style="327" customWidth="1"/>
    <col min="4620" max="4620" width="10.1328125" style="327" bestFit="1" customWidth="1"/>
    <col min="4621" max="4621" width="8.265625" style="327" customWidth="1"/>
    <col min="4622" max="4622" width="8.86328125" style="327"/>
    <col min="4623" max="4623" width="8.86328125" style="327" customWidth="1"/>
    <col min="4624" max="4625" width="10.73046875" style="327" customWidth="1"/>
    <col min="4626" max="4626" width="10" style="327" customWidth="1"/>
    <col min="4627" max="4628" width="8.86328125" style="327" customWidth="1"/>
    <col min="4629" max="4864" width="8.86328125" style="327"/>
    <col min="4865" max="4865" width="3.86328125" style="327" customWidth="1"/>
    <col min="4866" max="4866" width="27.265625" style="327" bestFit="1" customWidth="1"/>
    <col min="4867" max="4867" width="13.1328125" style="327" customWidth="1"/>
    <col min="4868" max="4868" width="11.59765625" style="327" customWidth="1"/>
    <col min="4869" max="4869" width="9.86328125" style="327" customWidth="1"/>
    <col min="4870" max="4870" width="8.1328125" style="327" customWidth="1"/>
    <col min="4871" max="4871" width="7.73046875" style="327" customWidth="1"/>
    <col min="4872" max="4874" width="8.86328125" style="327"/>
    <col min="4875" max="4875" width="12.265625" style="327" customWidth="1"/>
    <col min="4876" max="4876" width="10.1328125" style="327" bestFit="1" customWidth="1"/>
    <col min="4877" max="4877" width="8.265625" style="327" customWidth="1"/>
    <col min="4878" max="4878" width="8.86328125" style="327"/>
    <col min="4879" max="4879" width="8.86328125" style="327" customWidth="1"/>
    <col min="4880" max="4881" width="10.73046875" style="327" customWidth="1"/>
    <col min="4882" max="4882" width="10" style="327" customWidth="1"/>
    <col min="4883" max="4884" width="8.86328125" style="327" customWidth="1"/>
    <col min="4885" max="5120" width="8.86328125" style="327"/>
    <col min="5121" max="5121" width="3.86328125" style="327" customWidth="1"/>
    <col min="5122" max="5122" width="27.265625" style="327" bestFit="1" customWidth="1"/>
    <col min="5123" max="5123" width="13.1328125" style="327" customWidth="1"/>
    <col min="5124" max="5124" width="11.59765625" style="327" customWidth="1"/>
    <col min="5125" max="5125" width="9.86328125" style="327" customWidth="1"/>
    <col min="5126" max="5126" width="8.1328125" style="327" customWidth="1"/>
    <col min="5127" max="5127" width="7.73046875" style="327" customWidth="1"/>
    <col min="5128" max="5130" width="8.86328125" style="327"/>
    <col min="5131" max="5131" width="12.265625" style="327" customWidth="1"/>
    <col min="5132" max="5132" width="10.1328125" style="327" bestFit="1" customWidth="1"/>
    <col min="5133" max="5133" width="8.265625" style="327" customWidth="1"/>
    <col min="5134" max="5134" width="8.86328125" style="327"/>
    <col min="5135" max="5135" width="8.86328125" style="327" customWidth="1"/>
    <col min="5136" max="5137" width="10.73046875" style="327" customWidth="1"/>
    <col min="5138" max="5138" width="10" style="327" customWidth="1"/>
    <col min="5139" max="5140" width="8.86328125" style="327" customWidth="1"/>
    <col min="5141" max="5376" width="8.86328125" style="327"/>
    <col min="5377" max="5377" width="3.86328125" style="327" customWidth="1"/>
    <col min="5378" max="5378" width="27.265625" style="327" bestFit="1" customWidth="1"/>
    <col min="5379" max="5379" width="13.1328125" style="327" customWidth="1"/>
    <col min="5380" max="5380" width="11.59765625" style="327" customWidth="1"/>
    <col min="5381" max="5381" width="9.86328125" style="327" customWidth="1"/>
    <col min="5382" max="5382" width="8.1328125" style="327" customWidth="1"/>
    <col min="5383" max="5383" width="7.73046875" style="327" customWidth="1"/>
    <col min="5384" max="5386" width="8.86328125" style="327"/>
    <col min="5387" max="5387" width="12.265625" style="327" customWidth="1"/>
    <col min="5388" max="5388" width="10.1328125" style="327" bestFit="1" customWidth="1"/>
    <col min="5389" max="5389" width="8.265625" style="327" customWidth="1"/>
    <col min="5390" max="5390" width="8.86328125" style="327"/>
    <col min="5391" max="5391" width="8.86328125" style="327" customWidth="1"/>
    <col min="5392" max="5393" width="10.73046875" style="327" customWidth="1"/>
    <col min="5394" max="5394" width="10" style="327" customWidth="1"/>
    <col min="5395" max="5396" width="8.86328125" style="327" customWidth="1"/>
    <col min="5397" max="5632" width="8.86328125" style="327"/>
    <col min="5633" max="5633" width="3.86328125" style="327" customWidth="1"/>
    <col min="5634" max="5634" width="27.265625" style="327" bestFit="1" customWidth="1"/>
    <col min="5635" max="5635" width="13.1328125" style="327" customWidth="1"/>
    <col min="5636" max="5636" width="11.59765625" style="327" customWidth="1"/>
    <col min="5637" max="5637" width="9.86328125" style="327" customWidth="1"/>
    <col min="5638" max="5638" width="8.1328125" style="327" customWidth="1"/>
    <col min="5639" max="5639" width="7.73046875" style="327" customWidth="1"/>
    <col min="5640" max="5642" width="8.86328125" style="327"/>
    <col min="5643" max="5643" width="12.265625" style="327" customWidth="1"/>
    <col min="5644" max="5644" width="10.1328125" style="327" bestFit="1" customWidth="1"/>
    <col min="5645" max="5645" width="8.265625" style="327" customWidth="1"/>
    <col min="5646" max="5646" width="8.86328125" style="327"/>
    <col min="5647" max="5647" width="8.86328125" style="327" customWidth="1"/>
    <col min="5648" max="5649" width="10.73046875" style="327" customWidth="1"/>
    <col min="5650" max="5650" width="10" style="327" customWidth="1"/>
    <col min="5651" max="5652" width="8.86328125" style="327" customWidth="1"/>
    <col min="5653" max="5888" width="8.86328125" style="327"/>
    <col min="5889" max="5889" width="3.86328125" style="327" customWidth="1"/>
    <col min="5890" max="5890" width="27.265625" style="327" bestFit="1" customWidth="1"/>
    <col min="5891" max="5891" width="13.1328125" style="327" customWidth="1"/>
    <col min="5892" max="5892" width="11.59765625" style="327" customWidth="1"/>
    <col min="5893" max="5893" width="9.86328125" style="327" customWidth="1"/>
    <col min="5894" max="5894" width="8.1328125" style="327" customWidth="1"/>
    <col min="5895" max="5895" width="7.73046875" style="327" customWidth="1"/>
    <col min="5896" max="5898" width="8.86328125" style="327"/>
    <col min="5899" max="5899" width="12.265625" style="327" customWidth="1"/>
    <col min="5900" max="5900" width="10.1328125" style="327" bestFit="1" customWidth="1"/>
    <col min="5901" max="5901" width="8.265625" style="327" customWidth="1"/>
    <col min="5902" max="5902" width="8.86328125" style="327"/>
    <col min="5903" max="5903" width="8.86328125" style="327" customWidth="1"/>
    <col min="5904" max="5905" width="10.73046875" style="327" customWidth="1"/>
    <col min="5906" max="5906" width="10" style="327" customWidth="1"/>
    <col min="5907" max="5908" width="8.86328125" style="327" customWidth="1"/>
    <col min="5909" max="6144" width="8.86328125" style="327"/>
    <col min="6145" max="6145" width="3.86328125" style="327" customWidth="1"/>
    <col min="6146" max="6146" width="27.265625" style="327" bestFit="1" customWidth="1"/>
    <col min="6147" max="6147" width="13.1328125" style="327" customWidth="1"/>
    <col min="6148" max="6148" width="11.59765625" style="327" customWidth="1"/>
    <col min="6149" max="6149" width="9.86328125" style="327" customWidth="1"/>
    <col min="6150" max="6150" width="8.1328125" style="327" customWidth="1"/>
    <col min="6151" max="6151" width="7.73046875" style="327" customWidth="1"/>
    <col min="6152" max="6154" width="8.86328125" style="327"/>
    <col min="6155" max="6155" width="12.265625" style="327" customWidth="1"/>
    <col min="6156" max="6156" width="10.1328125" style="327" bestFit="1" customWidth="1"/>
    <col min="6157" max="6157" width="8.265625" style="327" customWidth="1"/>
    <col min="6158" max="6158" width="8.86328125" style="327"/>
    <col min="6159" max="6159" width="8.86328125" style="327" customWidth="1"/>
    <col min="6160" max="6161" width="10.73046875" style="327" customWidth="1"/>
    <col min="6162" max="6162" width="10" style="327" customWidth="1"/>
    <col min="6163" max="6164" width="8.86328125" style="327" customWidth="1"/>
    <col min="6165" max="6400" width="8.86328125" style="327"/>
    <col min="6401" max="6401" width="3.86328125" style="327" customWidth="1"/>
    <col min="6402" max="6402" width="27.265625" style="327" bestFit="1" customWidth="1"/>
    <col min="6403" max="6403" width="13.1328125" style="327" customWidth="1"/>
    <col min="6404" max="6404" width="11.59765625" style="327" customWidth="1"/>
    <col min="6405" max="6405" width="9.86328125" style="327" customWidth="1"/>
    <col min="6406" max="6406" width="8.1328125" style="327" customWidth="1"/>
    <col min="6407" max="6407" width="7.73046875" style="327" customWidth="1"/>
    <col min="6408" max="6410" width="8.86328125" style="327"/>
    <col min="6411" max="6411" width="12.265625" style="327" customWidth="1"/>
    <col min="6412" max="6412" width="10.1328125" style="327" bestFit="1" customWidth="1"/>
    <col min="6413" max="6413" width="8.265625" style="327" customWidth="1"/>
    <col min="6414" max="6414" width="8.86328125" style="327"/>
    <col min="6415" max="6415" width="8.86328125" style="327" customWidth="1"/>
    <col min="6416" max="6417" width="10.73046875" style="327" customWidth="1"/>
    <col min="6418" max="6418" width="10" style="327" customWidth="1"/>
    <col min="6419" max="6420" width="8.86328125" style="327" customWidth="1"/>
    <col min="6421" max="6656" width="8.86328125" style="327"/>
    <col min="6657" max="6657" width="3.86328125" style="327" customWidth="1"/>
    <col min="6658" max="6658" width="27.265625" style="327" bestFit="1" customWidth="1"/>
    <col min="6659" max="6659" width="13.1328125" style="327" customWidth="1"/>
    <col min="6660" max="6660" width="11.59765625" style="327" customWidth="1"/>
    <col min="6661" max="6661" width="9.86328125" style="327" customWidth="1"/>
    <col min="6662" max="6662" width="8.1328125" style="327" customWidth="1"/>
    <col min="6663" max="6663" width="7.73046875" style="327" customWidth="1"/>
    <col min="6664" max="6666" width="8.86328125" style="327"/>
    <col min="6667" max="6667" width="12.265625" style="327" customWidth="1"/>
    <col min="6668" max="6668" width="10.1328125" style="327" bestFit="1" customWidth="1"/>
    <col min="6669" max="6669" width="8.265625" style="327" customWidth="1"/>
    <col min="6670" max="6670" width="8.86328125" style="327"/>
    <col min="6671" max="6671" width="8.86328125" style="327" customWidth="1"/>
    <col min="6672" max="6673" width="10.73046875" style="327" customWidth="1"/>
    <col min="6674" max="6674" width="10" style="327" customWidth="1"/>
    <col min="6675" max="6676" width="8.86328125" style="327" customWidth="1"/>
    <col min="6677" max="6912" width="8.86328125" style="327"/>
    <col min="6913" max="6913" width="3.86328125" style="327" customWidth="1"/>
    <col min="6914" max="6914" width="27.265625" style="327" bestFit="1" customWidth="1"/>
    <col min="6915" max="6915" width="13.1328125" style="327" customWidth="1"/>
    <col min="6916" max="6916" width="11.59765625" style="327" customWidth="1"/>
    <col min="6917" max="6917" width="9.86328125" style="327" customWidth="1"/>
    <col min="6918" max="6918" width="8.1328125" style="327" customWidth="1"/>
    <col min="6919" max="6919" width="7.73046875" style="327" customWidth="1"/>
    <col min="6920" max="6922" width="8.86328125" style="327"/>
    <col min="6923" max="6923" width="12.265625" style="327" customWidth="1"/>
    <col min="6924" max="6924" width="10.1328125" style="327" bestFit="1" customWidth="1"/>
    <col min="6925" max="6925" width="8.265625" style="327" customWidth="1"/>
    <col min="6926" max="6926" width="8.86328125" style="327"/>
    <col min="6927" max="6927" width="8.86328125" style="327" customWidth="1"/>
    <col min="6928" max="6929" width="10.73046875" style="327" customWidth="1"/>
    <col min="6930" max="6930" width="10" style="327" customWidth="1"/>
    <col min="6931" max="6932" width="8.86328125" style="327" customWidth="1"/>
    <col min="6933" max="7168" width="8.86328125" style="327"/>
    <col min="7169" max="7169" width="3.86328125" style="327" customWidth="1"/>
    <col min="7170" max="7170" width="27.265625" style="327" bestFit="1" customWidth="1"/>
    <col min="7171" max="7171" width="13.1328125" style="327" customWidth="1"/>
    <col min="7172" max="7172" width="11.59765625" style="327" customWidth="1"/>
    <col min="7173" max="7173" width="9.86328125" style="327" customWidth="1"/>
    <col min="7174" max="7174" width="8.1328125" style="327" customWidth="1"/>
    <col min="7175" max="7175" width="7.73046875" style="327" customWidth="1"/>
    <col min="7176" max="7178" width="8.86328125" style="327"/>
    <col min="7179" max="7179" width="12.265625" style="327" customWidth="1"/>
    <col min="7180" max="7180" width="10.1328125" style="327" bestFit="1" customWidth="1"/>
    <col min="7181" max="7181" width="8.265625" style="327" customWidth="1"/>
    <col min="7182" max="7182" width="8.86328125" style="327"/>
    <col min="7183" max="7183" width="8.86328125" style="327" customWidth="1"/>
    <col min="7184" max="7185" width="10.73046875" style="327" customWidth="1"/>
    <col min="7186" max="7186" width="10" style="327" customWidth="1"/>
    <col min="7187" max="7188" width="8.86328125" style="327" customWidth="1"/>
    <col min="7189" max="7424" width="8.86328125" style="327"/>
    <col min="7425" max="7425" width="3.86328125" style="327" customWidth="1"/>
    <col min="7426" max="7426" width="27.265625" style="327" bestFit="1" customWidth="1"/>
    <col min="7427" max="7427" width="13.1328125" style="327" customWidth="1"/>
    <col min="7428" max="7428" width="11.59765625" style="327" customWidth="1"/>
    <col min="7429" max="7429" width="9.86328125" style="327" customWidth="1"/>
    <col min="7430" max="7430" width="8.1328125" style="327" customWidth="1"/>
    <col min="7431" max="7431" width="7.73046875" style="327" customWidth="1"/>
    <col min="7432" max="7434" width="8.86328125" style="327"/>
    <col min="7435" max="7435" width="12.265625" style="327" customWidth="1"/>
    <col min="7436" max="7436" width="10.1328125" style="327" bestFit="1" customWidth="1"/>
    <col min="7437" max="7437" width="8.265625" style="327" customWidth="1"/>
    <col min="7438" max="7438" width="8.86328125" style="327"/>
    <col min="7439" max="7439" width="8.86328125" style="327" customWidth="1"/>
    <col min="7440" max="7441" width="10.73046875" style="327" customWidth="1"/>
    <col min="7442" max="7442" width="10" style="327" customWidth="1"/>
    <col min="7443" max="7444" width="8.86328125" style="327" customWidth="1"/>
    <col min="7445" max="7680" width="8.86328125" style="327"/>
    <col min="7681" max="7681" width="3.86328125" style="327" customWidth="1"/>
    <col min="7682" max="7682" width="27.265625" style="327" bestFit="1" customWidth="1"/>
    <col min="7683" max="7683" width="13.1328125" style="327" customWidth="1"/>
    <col min="7684" max="7684" width="11.59765625" style="327" customWidth="1"/>
    <col min="7685" max="7685" width="9.86328125" style="327" customWidth="1"/>
    <col min="7686" max="7686" width="8.1328125" style="327" customWidth="1"/>
    <col min="7687" max="7687" width="7.73046875" style="327" customWidth="1"/>
    <col min="7688" max="7690" width="8.86328125" style="327"/>
    <col min="7691" max="7691" width="12.265625" style="327" customWidth="1"/>
    <col min="7692" max="7692" width="10.1328125" style="327" bestFit="1" customWidth="1"/>
    <col min="7693" max="7693" width="8.265625" style="327" customWidth="1"/>
    <col min="7694" max="7694" width="8.86328125" style="327"/>
    <col min="7695" max="7695" width="8.86328125" style="327" customWidth="1"/>
    <col min="7696" max="7697" width="10.73046875" style="327" customWidth="1"/>
    <col min="7698" max="7698" width="10" style="327" customWidth="1"/>
    <col min="7699" max="7700" width="8.86328125" style="327" customWidth="1"/>
    <col min="7701" max="7936" width="8.86328125" style="327"/>
    <col min="7937" max="7937" width="3.86328125" style="327" customWidth="1"/>
    <col min="7938" max="7938" width="27.265625" style="327" bestFit="1" customWidth="1"/>
    <col min="7939" max="7939" width="13.1328125" style="327" customWidth="1"/>
    <col min="7940" max="7940" width="11.59765625" style="327" customWidth="1"/>
    <col min="7941" max="7941" width="9.86328125" style="327" customWidth="1"/>
    <col min="7942" max="7942" width="8.1328125" style="327" customWidth="1"/>
    <col min="7943" max="7943" width="7.73046875" style="327" customWidth="1"/>
    <col min="7944" max="7946" width="8.86328125" style="327"/>
    <col min="7947" max="7947" width="12.265625" style="327" customWidth="1"/>
    <col min="7948" max="7948" width="10.1328125" style="327" bestFit="1" customWidth="1"/>
    <col min="7949" max="7949" width="8.265625" style="327" customWidth="1"/>
    <col min="7950" max="7950" width="8.86328125" style="327"/>
    <col min="7951" max="7951" width="8.86328125" style="327" customWidth="1"/>
    <col min="7952" max="7953" width="10.73046875" style="327" customWidth="1"/>
    <col min="7954" max="7954" width="10" style="327" customWidth="1"/>
    <col min="7955" max="7956" width="8.86328125" style="327" customWidth="1"/>
    <col min="7957" max="8192" width="8.86328125" style="327"/>
    <col min="8193" max="8193" width="3.86328125" style="327" customWidth="1"/>
    <col min="8194" max="8194" width="27.265625" style="327" bestFit="1" customWidth="1"/>
    <col min="8195" max="8195" width="13.1328125" style="327" customWidth="1"/>
    <col min="8196" max="8196" width="11.59765625" style="327" customWidth="1"/>
    <col min="8197" max="8197" width="9.86328125" style="327" customWidth="1"/>
    <col min="8198" max="8198" width="8.1328125" style="327" customWidth="1"/>
    <col min="8199" max="8199" width="7.73046875" style="327" customWidth="1"/>
    <col min="8200" max="8202" width="8.86328125" style="327"/>
    <col min="8203" max="8203" width="12.265625" style="327" customWidth="1"/>
    <col min="8204" max="8204" width="10.1328125" style="327" bestFit="1" customWidth="1"/>
    <col min="8205" max="8205" width="8.265625" style="327" customWidth="1"/>
    <col min="8206" max="8206" width="8.86328125" style="327"/>
    <col min="8207" max="8207" width="8.86328125" style="327" customWidth="1"/>
    <col min="8208" max="8209" width="10.73046875" style="327" customWidth="1"/>
    <col min="8210" max="8210" width="10" style="327" customWidth="1"/>
    <col min="8211" max="8212" width="8.86328125" style="327" customWidth="1"/>
    <col min="8213" max="8448" width="8.86328125" style="327"/>
    <col min="8449" max="8449" width="3.86328125" style="327" customWidth="1"/>
    <col min="8450" max="8450" width="27.265625" style="327" bestFit="1" customWidth="1"/>
    <col min="8451" max="8451" width="13.1328125" style="327" customWidth="1"/>
    <col min="8452" max="8452" width="11.59765625" style="327" customWidth="1"/>
    <col min="8453" max="8453" width="9.86328125" style="327" customWidth="1"/>
    <col min="8454" max="8454" width="8.1328125" style="327" customWidth="1"/>
    <col min="8455" max="8455" width="7.73046875" style="327" customWidth="1"/>
    <col min="8456" max="8458" width="8.86328125" style="327"/>
    <col min="8459" max="8459" width="12.265625" style="327" customWidth="1"/>
    <col min="8460" max="8460" width="10.1328125" style="327" bestFit="1" customWidth="1"/>
    <col min="8461" max="8461" width="8.265625" style="327" customWidth="1"/>
    <col min="8462" max="8462" width="8.86328125" style="327"/>
    <col min="8463" max="8463" width="8.86328125" style="327" customWidth="1"/>
    <col min="8464" max="8465" width="10.73046875" style="327" customWidth="1"/>
    <col min="8466" max="8466" width="10" style="327" customWidth="1"/>
    <col min="8467" max="8468" width="8.86328125" style="327" customWidth="1"/>
    <col min="8469" max="8704" width="8.86328125" style="327"/>
    <col min="8705" max="8705" width="3.86328125" style="327" customWidth="1"/>
    <col min="8706" max="8706" width="27.265625" style="327" bestFit="1" customWidth="1"/>
    <col min="8707" max="8707" width="13.1328125" style="327" customWidth="1"/>
    <col min="8708" max="8708" width="11.59765625" style="327" customWidth="1"/>
    <col min="8709" max="8709" width="9.86328125" style="327" customWidth="1"/>
    <col min="8710" max="8710" width="8.1328125" style="327" customWidth="1"/>
    <col min="8711" max="8711" width="7.73046875" style="327" customWidth="1"/>
    <col min="8712" max="8714" width="8.86328125" style="327"/>
    <col min="8715" max="8715" width="12.265625" style="327" customWidth="1"/>
    <col min="8716" max="8716" width="10.1328125" style="327" bestFit="1" customWidth="1"/>
    <col min="8717" max="8717" width="8.265625" style="327" customWidth="1"/>
    <col min="8718" max="8718" width="8.86328125" style="327"/>
    <col min="8719" max="8719" width="8.86328125" style="327" customWidth="1"/>
    <col min="8720" max="8721" width="10.73046875" style="327" customWidth="1"/>
    <col min="8722" max="8722" width="10" style="327" customWidth="1"/>
    <col min="8723" max="8724" width="8.86328125" style="327" customWidth="1"/>
    <col min="8725" max="8960" width="8.86328125" style="327"/>
    <col min="8961" max="8961" width="3.86328125" style="327" customWidth="1"/>
    <col min="8962" max="8962" width="27.265625" style="327" bestFit="1" customWidth="1"/>
    <col min="8963" max="8963" width="13.1328125" style="327" customWidth="1"/>
    <col min="8964" max="8964" width="11.59765625" style="327" customWidth="1"/>
    <col min="8965" max="8965" width="9.86328125" style="327" customWidth="1"/>
    <col min="8966" max="8966" width="8.1328125" style="327" customWidth="1"/>
    <col min="8967" max="8967" width="7.73046875" style="327" customWidth="1"/>
    <col min="8968" max="8970" width="8.86328125" style="327"/>
    <col min="8971" max="8971" width="12.265625" style="327" customWidth="1"/>
    <col min="8972" max="8972" width="10.1328125" style="327" bestFit="1" customWidth="1"/>
    <col min="8973" max="8973" width="8.265625" style="327" customWidth="1"/>
    <col min="8974" max="8974" width="8.86328125" style="327"/>
    <col min="8975" max="8975" width="8.86328125" style="327" customWidth="1"/>
    <col min="8976" max="8977" width="10.73046875" style="327" customWidth="1"/>
    <col min="8978" max="8978" width="10" style="327" customWidth="1"/>
    <col min="8979" max="8980" width="8.86328125" style="327" customWidth="1"/>
    <col min="8981" max="9216" width="8.86328125" style="327"/>
    <col min="9217" max="9217" width="3.86328125" style="327" customWidth="1"/>
    <col min="9218" max="9218" width="27.265625" style="327" bestFit="1" customWidth="1"/>
    <col min="9219" max="9219" width="13.1328125" style="327" customWidth="1"/>
    <col min="9220" max="9220" width="11.59765625" style="327" customWidth="1"/>
    <col min="9221" max="9221" width="9.86328125" style="327" customWidth="1"/>
    <col min="9222" max="9222" width="8.1328125" style="327" customWidth="1"/>
    <col min="9223" max="9223" width="7.73046875" style="327" customWidth="1"/>
    <col min="9224" max="9226" width="8.86328125" style="327"/>
    <col min="9227" max="9227" width="12.265625" style="327" customWidth="1"/>
    <col min="9228" max="9228" width="10.1328125" style="327" bestFit="1" customWidth="1"/>
    <col min="9229" max="9229" width="8.265625" style="327" customWidth="1"/>
    <col min="9230" max="9230" width="8.86328125" style="327"/>
    <col min="9231" max="9231" width="8.86328125" style="327" customWidth="1"/>
    <col min="9232" max="9233" width="10.73046875" style="327" customWidth="1"/>
    <col min="9234" max="9234" width="10" style="327" customWidth="1"/>
    <col min="9235" max="9236" width="8.86328125" style="327" customWidth="1"/>
    <col min="9237" max="9472" width="8.86328125" style="327"/>
    <col min="9473" max="9473" width="3.86328125" style="327" customWidth="1"/>
    <col min="9474" max="9474" width="27.265625" style="327" bestFit="1" customWidth="1"/>
    <col min="9475" max="9475" width="13.1328125" style="327" customWidth="1"/>
    <col min="9476" max="9476" width="11.59765625" style="327" customWidth="1"/>
    <col min="9477" max="9477" width="9.86328125" style="327" customWidth="1"/>
    <col min="9478" max="9478" width="8.1328125" style="327" customWidth="1"/>
    <col min="9479" max="9479" width="7.73046875" style="327" customWidth="1"/>
    <col min="9480" max="9482" width="8.86328125" style="327"/>
    <col min="9483" max="9483" width="12.265625" style="327" customWidth="1"/>
    <col min="9484" max="9484" width="10.1328125" style="327" bestFit="1" customWidth="1"/>
    <col min="9485" max="9485" width="8.265625" style="327" customWidth="1"/>
    <col min="9486" max="9486" width="8.86328125" style="327"/>
    <col min="9487" max="9487" width="8.86328125" style="327" customWidth="1"/>
    <col min="9488" max="9489" width="10.73046875" style="327" customWidth="1"/>
    <col min="9490" max="9490" width="10" style="327" customWidth="1"/>
    <col min="9491" max="9492" width="8.86328125" style="327" customWidth="1"/>
    <col min="9493" max="9728" width="8.86328125" style="327"/>
    <col min="9729" max="9729" width="3.86328125" style="327" customWidth="1"/>
    <col min="9730" max="9730" width="27.265625" style="327" bestFit="1" customWidth="1"/>
    <col min="9731" max="9731" width="13.1328125" style="327" customWidth="1"/>
    <col min="9732" max="9732" width="11.59765625" style="327" customWidth="1"/>
    <col min="9733" max="9733" width="9.86328125" style="327" customWidth="1"/>
    <col min="9734" max="9734" width="8.1328125" style="327" customWidth="1"/>
    <col min="9735" max="9735" width="7.73046875" style="327" customWidth="1"/>
    <col min="9736" max="9738" width="8.86328125" style="327"/>
    <col min="9739" max="9739" width="12.265625" style="327" customWidth="1"/>
    <col min="9740" max="9740" width="10.1328125" style="327" bestFit="1" customWidth="1"/>
    <col min="9741" max="9741" width="8.265625" style="327" customWidth="1"/>
    <col min="9742" max="9742" width="8.86328125" style="327"/>
    <col min="9743" max="9743" width="8.86328125" style="327" customWidth="1"/>
    <col min="9744" max="9745" width="10.73046875" style="327" customWidth="1"/>
    <col min="9746" max="9746" width="10" style="327" customWidth="1"/>
    <col min="9747" max="9748" width="8.86328125" style="327" customWidth="1"/>
    <col min="9749" max="9984" width="8.86328125" style="327"/>
    <col min="9985" max="9985" width="3.86328125" style="327" customWidth="1"/>
    <col min="9986" max="9986" width="27.265625" style="327" bestFit="1" customWidth="1"/>
    <col min="9987" max="9987" width="13.1328125" style="327" customWidth="1"/>
    <col min="9988" max="9988" width="11.59765625" style="327" customWidth="1"/>
    <col min="9989" max="9989" width="9.86328125" style="327" customWidth="1"/>
    <col min="9990" max="9990" width="8.1328125" style="327" customWidth="1"/>
    <col min="9991" max="9991" width="7.73046875" style="327" customWidth="1"/>
    <col min="9992" max="9994" width="8.86328125" style="327"/>
    <col min="9995" max="9995" width="12.265625" style="327" customWidth="1"/>
    <col min="9996" max="9996" width="10.1328125" style="327" bestFit="1" customWidth="1"/>
    <col min="9997" max="9997" width="8.265625" style="327" customWidth="1"/>
    <col min="9998" max="9998" width="8.86328125" style="327"/>
    <col min="9999" max="9999" width="8.86328125" style="327" customWidth="1"/>
    <col min="10000" max="10001" width="10.73046875" style="327" customWidth="1"/>
    <col min="10002" max="10002" width="10" style="327" customWidth="1"/>
    <col min="10003" max="10004" width="8.86328125" style="327" customWidth="1"/>
    <col min="10005" max="10240" width="8.86328125" style="327"/>
    <col min="10241" max="10241" width="3.86328125" style="327" customWidth="1"/>
    <col min="10242" max="10242" width="27.265625" style="327" bestFit="1" customWidth="1"/>
    <col min="10243" max="10243" width="13.1328125" style="327" customWidth="1"/>
    <col min="10244" max="10244" width="11.59765625" style="327" customWidth="1"/>
    <col min="10245" max="10245" width="9.86328125" style="327" customWidth="1"/>
    <col min="10246" max="10246" width="8.1328125" style="327" customWidth="1"/>
    <col min="10247" max="10247" width="7.73046875" style="327" customWidth="1"/>
    <col min="10248" max="10250" width="8.86328125" style="327"/>
    <col min="10251" max="10251" width="12.265625" style="327" customWidth="1"/>
    <col min="10252" max="10252" width="10.1328125" style="327" bestFit="1" customWidth="1"/>
    <col min="10253" max="10253" width="8.265625" style="327" customWidth="1"/>
    <col min="10254" max="10254" width="8.86328125" style="327"/>
    <col min="10255" max="10255" width="8.86328125" style="327" customWidth="1"/>
    <col min="10256" max="10257" width="10.73046875" style="327" customWidth="1"/>
    <col min="10258" max="10258" width="10" style="327" customWidth="1"/>
    <col min="10259" max="10260" width="8.86328125" style="327" customWidth="1"/>
    <col min="10261" max="10496" width="8.86328125" style="327"/>
    <col min="10497" max="10497" width="3.86328125" style="327" customWidth="1"/>
    <col min="10498" max="10498" width="27.265625" style="327" bestFit="1" customWidth="1"/>
    <col min="10499" max="10499" width="13.1328125" style="327" customWidth="1"/>
    <col min="10500" max="10500" width="11.59765625" style="327" customWidth="1"/>
    <col min="10501" max="10501" width="9.86328125" style="327" customWidth="1"/>
    <col min="10502" max="10502" width="8.1328125" style="327" customWidth="1"/>
    <col min="10503" max="10503" width="7.73046875" style="327" customWidth="1"/>
    <col min="10504" max="10506" width="8.86328125" style="327"/>
    <col min="10507" max="10507" width="12.265625" style="327" customWidth="1"/>
    <col min="10508" max="10508" width="10.1328125" style="327" bestFit="1" customWidth="1"/>
    <col min="10509" max="10509" width="8.265625" style="327" customWidth="1"/>
    <col min="10510" max="10510" width="8.86328125" style="327"/>
    <col min="10511" max="10511" width="8.86328125" style="327" customWidth="1"/>
    <col min="10512" max="10513" width="10.73046875" style="327" customWidth="1"/>
    <col min="10514" max="10514" width="10" style="327" customWidth="1"/>
    <col min="10515" max="10516" width="8.86328125" style="327" customWidth="1"/>
    <col min="10517" max="10752" width="8.86328125" style="327"/>
    <col min="10753" max="10753" width="3.86328125" style="327" customWidth="1"/>
    <col min="10754" max="10754" width="27.265625" style="327" bestFit="1" customWidth="1"/>
    <col min="10755" max="10755" width="13.1328125" style="327" customWidth="1"/>
    <col min="10756" max="10756" width="11.59765625" style="327" customWidth="1"/>
    <col min="10757" max="10757" width="9.86328125" style="327" customWidth="1"/>
    <col min="10758" max="10758" width="8.1328125" style="327" customWidth="1"/>
    <col min="10759" max="10759" width="7.73046875" style="327" customWidth="1"/>
    <col min="10760" max="10762" width="8.86328125" style="327"/>
    <col min="10763" max="10763" width="12.265625" style="327" customWidth="1"/>
    <col min="10764" max="10764" width="10.1328125" style="327" bestFit="1" customWidth="1"/>
    <col min="10765" max="10765" width="8.265625" style="327" customWidth="1"/>
    <col min="10766" max="10766" width="8.86328125" style="327"/>
    <col min="10767" max="10767" width="8.86328125" style="327" customWidth="1"/>
    <col min="10768" max="10769" width="10.73046875" style="327" customWidth="1"/>
    <col min="10770" max="10770" width="10" style="327" customWidth="1"/>
    <col min="10771" max="10772" width="8.86328125" style="327" customWidth="1"/>
    <col min="10773" max="11008" width="8.86328125" style="327"/>
    <col min="11009" max="11009" width="3.86328125" style="327" customWidth="1"/>
    <col min="11010" max="11010" width="27.265625" style="327" bestFit="1" customWidth="1"/>
    <col min="11011" max="11011" width="13.1328125" style="327" customWidth="1"/>
    <col min="11012" max="11012" width="11.59765625" style="327" customWidth="1"/>
    <col min="11013" max="11013" width="9.86328125" style="327" customWidth="1"/>
    <col min="11014" max="11014" width="8.1328125" style="327" customWidth="1"/>
    <col min="11015" max="11015" width="7.73046875" style="327" customWidth="1"/>
    <col min="11016" max="11018" width="8.86328125" style="327"/>
    <col min="11019" max="11019" width="12.265625" style="327" customWidth="1"/>
    <col min="11020" max="11020" width="10.1328125" style="327" bestFit="1" customWidth="1"/>
    <col min="11021" max="11021" width="8.265625" style="327" customWidth="1"/>
    <col min="11022" max="11022" width="8.86328125" style="327"/>
    <col min="11023" max="11023" width="8.86328125" style="327" customWidth="1"/>
    <col min="11024" max="11025" width="10.73046875" style="327" customWidth="1"/>
    <col min="11026" max="11026" width="10" style="327" customWidth="1"/>
    <col min="11027" max="11028" width="8.86328125" style="327" customWidth="1"/>
    <col min="11029" max="11264" width="8.86328125" style="327"/>
    <col min="11265" max="11265" width="3.86328125" style="327" customWidth="1"/>
    <col min="11266" max="11266" width="27.265625" style="327" bestFit="1" customWidth="1"/>
    <col min="11267" max="11267" width="13.1328125" style="327" customWidth="1"/>
    <col min="11268" max="11268" width="11.59765625" style="327" customWidth="1"/>
    <col min="11269" max="11269" width="9.86328125" style="327" customWidth="1"/>
    <col min="11270" max="11270" width="8.1328125" style="327" customWidth="1"/>
    <col min="11271" max="11271" width="7.73046875" style="327" customWidth="1"/>
    <col min="11272" max="11274" width="8.86328125" style="327"/>
    <col min="11275" max="11275" width="12.265625" style="327" customWidth="1"/>
    <col min="11276" max="11276" width="10.1328125" style="327" bestFit="1" customWidth="1"/>
    <col min="11277" max="11277" width="8.265625" style="327" customWidth="1"/>
    <col min="11278" max="11278" width="8.86328125" style="327"/>
    <col min="11279" max="11279" width="8.86328125" style="327" customWidth="1"/>
    <col min="11280" max="11281" width="10.73046875" style="327" customWidth="1"/>
    <col min="11282" max="11282" width="10" style="327" customWidth="1"/>
    <col min="11283" max="11284" width="8.86328125" style="327" customWidth="1"/>
    <col min="11285" max="11520" width="8.86328125" style="327"/>
    <col min="11521" max="11521" width="3.86328125" style="327" customWidth="1"/>
    <col min="11522" max="11522" width="27.265625" style="327" bestFit="1" customWidth="1"/>
    <col min="11523" max="11523" width="13.1328125" style="327" customWidth="1"/>
    <col min="11524" max="11524" width="11.59765625" style="327" customWidth="1"/>
    <col min="11525" max="11525" width="9.86328125" style="327" customWidth="1"/>
    <col min="11526" max="11526" width="8.1328125" style="327" customWidth="1"/>
    <col min="11527" max="11527" width="7.73046875" style="327" customWidth="1"/>
    <col min="11528" max="11530" width="8.86328125" style="327"/>
    <col min="11531" max="11531" width="12.265625" style="327" customWidth="1"/>
    <col min="11532" max="11532" width="10.1328125" style="327" bestFit="1" customWidth="1"/>
    <col min="11533" max="11533" width="8.265625" style="327" customWidth="1"/>
    <col min="11534" max="11534" width="8.86328125" style="327"/>
    <col min="11535" max="11535" width="8.86328125" style="327" customWidth="1"/>
    <col min="11536" max="11537" width="10.73046875" style="327" customWidth="1"/>
    <col min="11538" max="11538" width="10" style="327" customWidth="1"/>
    <col min="11539" max="11540" width="8.86328125" style="327" customWidth="1"/>
    <col min="11541" max="11776" width="8.86328125" style="327"/>
    <col min="11777" max="11777" width="3.86328125" style="327" customWidth="1"/>
    <col min="11778" max="11778" width="27.265625" style="327" bestFit="1" customWidth="1"/>
    <col min="11779" max="11779" width="13.1328125" style="327" customWidth="1"/>
    <col min="11780" max="11780" width="11.59765625" style="327" customWidth="1"/>
    <col min="11781" max="11781" width="9.86328125" style="327" customWidth="1"/>
    <col min="11782" max="11782" width="8.1328125" style="327" customWidth="1"/>
    <col min="11783" max="11783" width="7.73046875" style="327" customWidth="1"/>
    <col min="11784" max="11786" width="8.86328125" style="327"/>
    <col min="11787" max="11787" width="12.265625" style="327" customWidth="1"/>
    <col min="11788" max="11788" width="10.1328125" style="327" bestFit="1" customWidth="1"/>
    <col min="11789" max="11789" width="8.265625" style="327" customWidth="1"/>
    <col min="11790" max="11790" width="8.86328125" style="327"/>
    <col min="11791" max="11791" width="8.86328125" style="327" customWidth="1"/>
    <col min="11792" max="11793" width="10.73046875" style="327" customWidth="1"/>
    <col min="11794" max="11794" width="10" style="327" customWidth="1"/>
    <col min="11795" max="11796" width="8.86328125" style="327" customWidth="1"/>
    <col min="11797" max="12032" width="8.86328125" style="327"/>
    <col min="12033" max="12033" width="3.86328125" style="327" customWidth="1"/>
    <col min="12034" max="12034" width="27.265625" style="327" bestFit="1" customWidth="1"/>
    <col min="12035" max="12035" width="13.1328125" style="327" customWidth="1"/>
    <col min="12036" max="12036" width="11.59765625" style="327" customWidth="1"/>
    <col min="12037" max="12037" width="9.86328125" style="327" customWidth="1"/>
    <col min="12038" max="12038" width="8.1328125" style="327" customWidth="1"/>
    <col min="12039" max="12039" width="7.73046875" style="327" customWidth="1"/>
    <col min="12040" max="12042" width="8.86328125" style="327"/>
    <col min="12043" max="12043" width="12.265625" style="327" customWidth="1"/>
    <col min="12044" max="12044" width="10.1328125" style="327" bestFit="1" customWidth="1"/>
    <col min="12045" max="12045" width="8.265625" style="327" customWidth="1"/>
    <col min="12046" max="12046" width="8.86328125" style="327"/>
    <col min="12047" max="12047" width="8.86328125" style="327" customWidth="1"/>
    <col min="12048" max="12049" width="10.73046875" style="327" customWidth="1"/>
    <col min="12050" max="12050" width="10" style="327" customWidth="1"/>
    <col min="12051" max="12052" width="8.86328125" style="327" customWidth="1"/>
    <col min="12053" max="12288" width="8.86328125" style="327"/>
    <col min="12289" max="12289" width="3.86328125" style="327" customWidth="1"/>
    <col min="12290" max="12290" width="27.265625" style="327" bestFit="1" customWidth="1"/>
    <col min="12291" max="12291" width="13.1328125" style="327" customWidth="1"/>
    <col min="12292" max="12292" width="11.59765625" style="327" customWidth="1"/>
    <col min="12293" max="12293" width="9.86328125" style="327" customWidth="1"/>
    <col min="12294" max="12294" width="8.1328125" style="327" customWidth="1"/>
    <col min="12295" max="12295" width="7.73046875" style="327" customWidth="1"/>
    <col min="12296" max="12298" width="8.86328125" style="327"/>
    <col min="12299" max="12299" width="12.265625" style="327" customWidth="1"/>
    <col min="12300" max="12300" width="10.1328125" style="327" bestFit="1" customWidth="1"/>
    <col min="12301" max="12301" width="8.265625" style="327" customWidth="1"/>
    <col min="12302" max="12302" width="8.86328125" style="327"/>
    <col min="12303" max="12303" width="8.86328125" style="327" customWidth="1"/>
    <col min="12304" max="12305" width="10.73046875" style="327" customWidth="1"/>
    <col min="12306" max="12306" width="10" style="327" customWidth="1"/>
    <col min="12307" max="12308" width="8.86328125" style="327" customWidth="1"/>
    <col min="12309" max="12544" width="8.86328125" style="327"/>
    <col min="12545" max="12545" width="3.86328125" style="327" customWidth="1"/>
    <col min="12546" max="12546" width="27.265625" style="327" bestFit="1" customWidth="1"/>
    <col min="12547" max="12547" width="13.1328125" style="327" customWidth="1"/>
    <col min="12548" max="12548" width="11.59765625" style="327" customWidth="1"/>
    <col min="12549" max="12549" width="9.86328125" style="327" customWidth="1"/>
    <col min="12550" max="12550" width="8.1328125" style="327" customWidth="1"/>
    <col min="12551" max="12551" width="7.73046875" style="327" customWidth="1"/>
    <col min="12552" max="12554" width="8.86328125" style="327"/>
    <col min="12555" max="12555" width="12.265625" style="327" customWidth="1"/>
    <col min="12556" max="12556" width="10.1328125" style="327" bestFit="1" customWidth="1"/>
    <col min="12557" max="12557" width="8.265625" style="327" customWidth="1"/>
    <col min="12558" max="12558" width="8.86328125" style="327"/>
    <col min="12559" max="12559" width="8.86328125" style="327" customWidth="1"/>
    <col min="12560" max="12561" width="10.73046875" style="327" customWidth="1"/>
    <col min="12562" max="12562" width="10" style="327" customWidth="1"/>
    <col min="12563" max="12564" width="8.86328125" style="327" customWidth="1"/>
    <col min="12565" max="12800" width="8.86328125" style="327"/>
    <col min="12801" max="12801" width="3.86328125" style="327" customWidth="1"/>
    <col min="12802" max="12802" width="27.265625" style="327" bestFit="1" customWidth="1"/>
    <col min="12803" max="12803" width="13.1328125" style="327" customWidth="1"/>
    <col min="12804" max="12804" width="11.59765625" style="327" customWidth="1"/>
    <col min="12805" max="12805" width="9.86328125" style="327" customWidth="1"/>
    <col min="12806" max="12806" width="8.1328125" style="327" customWidth="1"/>
    <col min="12807" max="12807" width="7.73046875" style="327" customWidth="1"/>
    <col min="12808" max="12810" width="8.86328125" style="327"/>
    <col min="12811" max="12811" width="12.265625" style="327" customWidth="1"/>
    <col min="12812" max="12812" width="10.1328125" style="327" bestFit="1" customWidth="1"/>
    <col min="12813" max="12813" width="8.265625" style="327" customWidth="1"/>
    <col min="12814" max="12814" width="8.86328125" style="327"/>
    <col min="12815" max="12815" width="8.86328125" style="327" customWidth="1"/>
    <col min="12816" max="12817" width="10.73046875" style="327" customWidth="1"/>
    <col min="12818" max="12818" width="10" style="327" customWidth="1"/>
    <col min="12819" max="12820" width="8.86328125" style="327" customWidth="1"/>
    <col min="12821" max="13056" width="8.86328125" style="327"/>
    <col min="13057" max="13057" width="3.86328125" style="327" customWidth="1"/>
    <col min="13058" max="13058" width="27.265625" style="327" bestFit="1" customWidth="1"/>
    <col min="13059" max="13059" width="13.1328125" style="327" customWidth="1"/>
    <col min="13060" max="13060" width="11.59765625" style="327" customWidth="1"/>
    <col min="13061" max="13061" width="9.86328125" style="327" customWidth="1"/>
    <col min="13062" max="13062" width="8.1328125" style="327" customWidth="1"/>
    <col min="13063" max="13063" width="7.73046875" style="327" customWidth="1"/>
    <col min="13064" max="13066" width="8.86328125" style="327"/>
    <col min="13067" max="13067" width="12.265625" style="327" customWidth="1"/>
    <col min="13068" max="13068" width="10.1328125" style="327" bestFit="1" customWidth="1"/>
    <col min="13069" max="13069" width="8.265625" style="327" customWidth="1"/>
    <col min="13070" max="13070" width="8.86328125" style="327"/>
    <col min="13071" max="13071" width="8.86328125" style="327" customWidth="1"/>
    <col min="13072" max="13073" width="10.73046875" style="327" customWidth="1"/>
    <col min="13074" max="13074" width="10" style="327" customWidth="1"/>
    <col min="13075" max="13076" width="8.86328125" style="327" customWidth="1"/>
    <col min="13077" max="13312" width="8.86328125" style="327"/>
    <col min="13313" max="13313" width="3.86328125" style="327" customWidth="1"/>
    <col min="13314" max="13314" width="27.265625" style="327" bestFit="1" customWidth="1"/>
    <col min="13315" max="13315" width="13.1328125" style="327" customWidth="1"/>
    <col min="13316" max="13316" width="11.59765625" style="327" customWidth="1"/>
    <col min="13317" max="13317" width="9.86328125" style="327" customWidth="1"/>
    <col min="13318" max="13318" width="8.1328125" style="327" customWidth="1"/>
    <col min="13319" max="13319" width="7.73046875" style="327" customWidth="1"/>
    <col min="13320" max="13322" width="8.86328125" style="327"/>
    <col min="13323" max="13323" width="12.265625" style="327" customWidth="1"/>
    <col min="13324" max="13324" width="10.1328125" style="327" bestFit="1" customWidth="1"/>
    <col min="13325" max="13325" width="8.265625" style="327" customWidth="1"/>
    <col min="13326" max="13326" width="8.86328125" style="327"/>
    <col min="13327" max="13327" width="8.86328125" style="327" customWidth="1"/>
    <col min="13328" max="13329" width="10.73046875" style="327" customWidth="1"/>
    <col min="13330" max="13330" width="10" style="327" customWidth="1"/>
    <col min="13331" max="13332" width="8.86328125" style="327" customWidth="1"/>
    <col min="13333" max="13568" width="8.86328125" style="327"/>
    <col min="13569" max="13569" width="3.86328125" style="327" customWidth="1"/>
    <col min="13570" max="13570" width="27.265625" style="327" bestFit="1" customWidth="1"/>
    <col min="13571" max="13571" width="13.1328125" style="327" customWidth="1"/>
    <col min="13572" max="13572" width="11.59765625" style="327" customWidth="1"/>
    <col min="13573" max="13573" width="9.86328125" style="327" customWidth="1"/>
    <col min="13574" max="13574" width="8.1328125" style="327" customWidth="1"/>
    <col min="13575" max="13575" width="7.73046875" style="327" customWidth="1"/>
    <col min="13576" max="13578" width="8.86328125" style="327"/>
    <col min="13579" max="13579" width="12.265625" style="327" customWidth="1"/>
    <col min="13580" max="13580" width="10.1328125" style="327" bestFit="1" customWidth="1"/>
    <col min="13581" max="13581" width="8.265625" style="327" customWidth="1"/>
    <col min="13582" max="13582" width="8.86328125" style="327"/>
    <col min="13583" max="13583" width="8.86328125" style="327" customWidth="1"/>
    <col min="13584" max="13585" width="10.73046875" style="327" customWidth="1"/>
    <col min="13586" max="13586" width="10" style="327" customWidth="1"/>
    <col min="13587" max="13588" width="8.86328125" style="327" customWidth="1"/>
    <col min="13589" max="13824" width="8.86328125" style="327"/>
    <col min="13825" max="13825" width="3.86328125" style="327" customWidth="1"/>
    <col min="13826" max="13826" width="27.265625" style="327" bestFit="1" customWidth="1"/>
    <col min="13827" max="13827" width="13.1328125" style="327" customWidth="1"/>
    <col min="13828" max="13828" width="11.59765625" style="327" customWidth="1"/>
    <col min="13829" max="13829" width="9.86328125" style="327" customWidth="1"/>
    <col min="13830" max="13830" width="8.1328125" style="327" customWidth="1"/>
    <col min="13831" max="13831" width="7.73046875" style="327" customWidth="1"/>
    <col min="13832" max="13834" width="8.86328125" style="327"/>
    <col min="13835" max="13835" width="12.265625" style="327" customWidth="1"/>
    <col min="13836" max="13836" width="10.1328125" style="327" bestFit="1" customWidth="1"/>
    <col min="13837" max="13837" width="8.265625" style="327" customWidth="1"/>
    <col min="13838" max="13838" width="8.86328125" style="327"/>
    <col min="13839" max="13839" width="8.86328125" style="327" customWidth="1"/>
    <col min="13840" max="13841" width="10.73046875" style="327" customWidth="1"/>
    <col min="13842" max="13842" width="10" style="327" customWidth="1"/>
    <col min="13843" max="13844" width="8.86328125" style="327" customWidth="1"/>
    <col min="13845" max="14080" width="8.86328125" style="327"/>
    <col min="14081" max="14081" width="3.86328125" style="327" customWidth="1"/>
    <col min="14082" max="14082" width="27.265625" style="327" bestFit="1" customWidth="1"/>
    <col min="14083" max="14083" width="13.1328125" style="327" customWidth="1"/>
    <col min="14084" max="14084" width="11.59765625" style="327" customWidth="1"/>
    <col min="14085" max="14085" width="9.86328125" style="327" customWidth="1"/>
    <col min="14086" max="14086" width="8.1328125" style="327" customWidth="1"/>
    <col min="14087" max="14087" width="7.73046875" style="327" customWidth="1"/>
    <col min="14088" max="14090" width="8.86328125" style="327"/>
    <col min="14091" max="14091" width="12.265625" style="327" customWidth="1"/>
    <col min="14092" max="14092" width="10.1328125" style="327" bestFit="1" customWidth="1"/>
    <col min="14093" max="14093" width="8.265625" style="327" customWidth="1"/>
    <col min="14094" max="14094" width="8.86328125" style="327"/>
    <col min="14095" max="14095" width="8.86328125" style="327" customWidth="1"/>
    <col min="14096" max="14097" width="10.73046875" style="327" customWidth="1"/>
    <col min="14098" max="14098" width="10" style="327" customWidth="1"/>
    <col min="14099" max="14100" width="8.86328125" style="327" customWidth="1"/>
    <col min="14101" max="14336" width="8.86328125" style="327"/>
    <col min="14337" max="14337" width="3.86328125" style="327" customWidth="1"/>
    <col min="14338" max="14338" width="27.265625" style="327" bestFit="1" customWidth="1"/>
    <col min="14339" max="14339" width="13.1328125" style="327" customWidth="1"/>
    <col min="14340" max="14340" width="11.59765625" style="327" customWidth="1"/>
    <col min="14341" max="14341" width="9.86328125" style="327" customWidth="1"/>
    <col min="14342" max="14342" width="8.1328125" style="327" customWidth="1"/>
    <col min="14343" max="14343" width="7.73046875" style="327" customWidth="1"/>
    <col min="14344" max="14346" width="8.86328125" style="327"/>
    <col min="14347" max="14347" width="12.265625" style="327" customWidth="1"/>
    <col min="14348" max="14348" width="10.1328125" style="327" bestFit="1" customWidth="1"/>
    <col min="14349" max="14349" width="8.265625" style="327" customWidth="1"/>
    <col min="14350" max="14350" width="8.86328125" style="327"/>
    <col min="14351" max="14351" width="8.86328125" style="327" customWidth="1"/>
    <col min="14352" max="14353" width="10.73046875" style="327" customWidth="1"/>
    <col min="14354" max="14354" width="10" style="327" customWidth="1"/>
    <col min="14355" max="14356" width="8.86328125" style="327" customWidth="1"/>
    <col min="14357" max="14592" width="8.86328125" style="327"/>
    <col min="14593" max="14593" width="3.86328125" style="327" customWidth="1"/>
    <col min="14594" max="14594" width="27.265625" style="327" bestFit="1" customWidth="1"/>
    <col min="14595" max="14595" width="13.1328125" style="327" customWidth="1"/>
    <col min="14596" max="14596" width="11.59765625" style="327" customWidth="1"/>
    <col min="14597" max="14597" width="9.86328125" style="327" customWidth="1"/>
    <col min="14598" max="14598" width="8.1328125" style="327" customWidth="1"/>
    <col min="14599" max="14599" width="7.73046875" style="327" customWidth="1"/>
    <col min="14600" max="14602" width="8.86328125" style="327"/>
    <col min="14603" max="14603" width="12.265625" style="327" customWidth="1"/>
    <col min="14604" max="14604" width="10.1328125" style="327" bestFit="1" customWidth="1"/>
    <col min="14605" max="14605" width="8.265625" style="327" customWidth="1"/>
    <col min="14606" max="14606" width="8.86328125" style="327"/>
    <col min="14607" max="14607" width="8.86328125" style="327" customWidth="1"/>
    <col min="14608" max="14609" width="10.73046875" style="327" customWidth="1"/>
    <col min="14610" max="14610" width="10" style="327" customWidth="1"/>
    <col min="14611" max="14612" width="8.86328125" style="327" customWidth="1"/>
    <col min="14613" max="14848" width="8.86328125" style="327"/>
    <col min="14849" max="14849" width="3.86328125" style="327" customWidth="1"/>
    <col min="14850" max="14850" width="27.265625" style="327" bestFit="1" customWidth="1"/>
    <col min="14851" max="14851" width="13.1328125" style="327" customWidth="1"/>
    <col min="14852" max="14852" width="11.59765625" style="327" customWidth="1"/>
    <col min="14853" max="14853" width="9.86328125" style="327" customWidth="1"/>
    <col min="14854" max="14854" width="8.1328125" style="327" customWidth="1"/>
    <col min="14855" max="14855" width="7.73046875" style="327" customWidth="1"/>
    <col min="14856" max="14858" width="8.86328125" style="327"/>
    <col min="14859" max="14859" width="12.265625" style="327" customWidth="1"/>
    <col min="14860" max="14860" width="10.1328125" style="327" bestFit="1" customWidth="1"/>
    <col min="14861" max="14861" width="8.265625" style="327" customWidth="1"/>
    <col min="14862" max="14862" width="8.86328125" style="327"/>
    <col min="14863" max="14863" width="8.86328125" style="327" customWidth="1"/>
    <col min="14864" max="14865" width="10.73046875" style="327" customWidth="1"/>
    <col min="14866" max="14866" width="10" style="327" customWidth="1"/>
    <col min="14867" max="14868" width="8.86328125" style="327" customWidth="1"/>
    <col min="14869" max="15104" width="8.86328125" style="327"/>
    <col min="15105" max="15105" width="3.86328125" style="327" customWidth="1"/>
    <col min="15106" max="15106" width="27.265625" style="327" bestFit="1" customWidth="1"/>
    <col min="15107" max="15107" width="13.1328125" style="327" customWidth="1"/>
    <col min="15108" max="15108" width="11.59765625" style="327" customWidth="1"/>
    <col min="15109" max="15109" width="9.86328125" style="327" customWidth="1"/>
    <col min="15110" max="15110" width="8.1328125" style="327" customWidth="1"/>
    <col min="15111" max="15111" width="7.73046875" style="327" customWidth="1"/>
    <col min="15112" max="15114" width="8.86328125" style="327"/>
    <col min="15115" max="15115" width="12.265625" style="327" customWidth="1"/>
    <col min="15116" max="15116" width="10.1328125" style="327" bestFit="1" customWidth="1"/>
    <col min="15117" max="15117" width="8.265625" style="327" customWidth="1"/>
    <col min="15118" max="15118" width="8.86328125" style="327"/>
    <col min="15119" max="15119" width="8.86328125" style="327" customWidth="1"/>
    <col min="15120" max="15121" width="10.73046875" style="327" customWidth="1"/>
    <col min="15122" max="15122" width="10" style="327" customWidth="1"/>
    <col min="15123" max="15124" width="8.86328125" style="327" customWidth="1"/>
    <col min="15125" max="15360" width="8.86328125" style="327"/>
    <col min="15361" max="15361" width="3.86328125" style="327" customWidth="1"/>
    <col min="15362" max="15362" width="27.265625" style="327" bestFit="1" customWidth="1"/>
    <col min="15363" max="15363" width="13.1328125" style="327" customWidth="1"/>
    <col min="15364" max="15364" width="11.59765625" style="327" customWidth="1"/>
    <col min="15365" max="15365" width="9.86328125" style="327" customWidth="1"/>
    <col min="15366" max="15366" width="8.1328125" style="327" customWidth="1"/>
    <col min="15367" max="15367" width="7.73046875" style="327" customWidth="1"/>
    <col min="15368" max="15370" width="8.86328125" style="327"/>
    <col min="15371" max="15371" width="12.265625" style="327" customWidth="1"/>
    <col min="15372" max="15372" width="10.1328125" style="327" bestFit="1" customWidth="1"/>
    <col min="15373" max="15373" width="8.265625" style="327" customWidth="1"/>
    <col min="15374" max="15374" width="8.86328125" style="327"/>
    <col min="15375" max="15375" width="8.86328125" style="327" customWidth="1"/>
    <col min="15376" max="15377" width="10.73046875" style="327" customWidth="1"/>
    <col min="15378" max="15378" width="10" style="327" customWidth="1"/>
    <col min="15379" max="15380" width="8.86328125" style="327" customWidth="1"/>
    <col min="15381" max="15616" width="8.86328125" style="327"/>
    <col min="15617" max="15617" width="3.86328125" style="327" customWidth="1"/>
    <col min="15618" max="15618" width="27.265625" style="327" bestFit="1" customWidth="1"/>
    <col min="15619" max="15619" width="13.1328125" style="327" customWidth="1"/>
    <col min="15620" max="15620" width="11.59765625" style="327" customWidth="1"/>
    <col min="15621" max="15621" width="9.86328125" style="327" customWidth="1"/>
    <col min="15622" max="15622" width="8.1328125" style="327" customWidth="1"/>
    <col min="15623" max="15623" width="7.73046875" style="327" customWidth="1"/>
    <col min="15624" max="15626" width="8.86328125" style="327"/>
    <col min="15627" max="15627" width="12.265625" style="327" customWidth="1"/>
    <col min="15628" max="15628" width="10.1328125" style="327" bestFit="1" customWidth="1"/>
    <col min="15629" max="15629" width="8.265625" style="327" customWidth="1"/>
    <col min="15630" max="15630" width="8.86328125" style="327"/>
    <col min="15631" max="15631" width="8.86328125" style="327" customWidth="1"/>
    <col min="15632" max="15633" width="10.73046875" style="327" customWidth="1"/>
    <col min="15634" max="15634" width="10" style="327" customWidth="1"/>
    <col min="15635" max="15636" width="8.86328125" style="327" customWidth="1"/>
    <col min="15637" max="15872" width="8.86328125" style="327"/>
    <col min="15873" max="15873" width="3.86328125" style="327" customWidth="1"/>
    <col min="15874" max="15874" width="27.265625" style="327" bestFit="1" customWidth="1"/>
    <col min="15875" max="15875" width="13.1328125" style="327" customWidth="1"/>
    <col min="15876" max="15876" width="11.59765625" style="327" customWidth="1"/>
    <col min="15877" max="15877" width="9.86328125" style="327" customWidth="1"/>
    <col min="15878" max="15878" width="8.1328125" style="327" customWidth="1"/>
    <col min="15879" max="15879" width="7.73046875" style="327" customWidth="1"/>
    <col min="15880" max="15882" width="8.86328125" style="327"/>
    <col min="15883" max="15883" width="12.265625" style="327" customWidth="1"/>
    <col min="15884" max="15884" width="10.1328125" style="327" bestFit="1" customWidth="1"/>
    <col min="15885" max="15885" width="8.265625" style="327" customWidth="1"/>
    <col min="15886" max="15886" width="8.86328125" style="327"/>
    <col min="15887" max="15887" width="8.86328125" style="327" customWidth="1"/>
    <col min="15888" max="15889" width="10.73046875" style="327" customWidth="1"/>
    <col min="15890" max="15890" width="10" style="327" customWidth="1"/>
    <col min="15891" max="15892" width="8.86328125" style="327" customWidth="1"/>
    <col min="15893" max="16128" width="8.86328125" style="327"/>
    <col min="16129" max="16129" width="3.86328125" style="327" customWidth="1"/>
    <col min="16130" max="16130" width="27.265625" style="327" bestFit="1" customWidth="1"/>
    <col min="16131" max="16131" width="13.1328125" style="327" customWidth="1"/>
    <col min="16132" max="16132" width="11.59765625" style="327" customWidth="1"/>
    <col min="16133" max="16133" width="9.86328125" style="327" customWidth="1"/>
    <col min="16134" max="16134" width="8.1328125" style="327" customWidth="1"/>
    <col min="16135" max="16135" width="7.73046875" style="327" customWidth="1"/>
    <col min="16136" max="16138" width="8.86328125" style="327"/>
    <col min="16139" max="16139" width="12.265625" style="327" customWidth="1"/>
    <col min="16140" max="16140" width="10.1328125" style="327" bestFit="1" customWidth="1"/>
    <col min="16141" max="16141" width="8.265625" style="327" customWidth="1"/>
    <col min="16142" max="16142" width="8.86328125" style="327"/>
    <col min="16143" max="16143" width="8.86328125" style="327" customWidth="1"/>
    <col min="16144" max="16145" width="10.73046875" style="327" customWidth="1"/>
    <col min="16146" max="16146" width="10" style="327" customWidth="1"/>
    <col min="16147" max="16148" width="8.86328125" style="327" customWidth="1"/>
    <col min="16149" max="16384" width="8.86328125" style="327"/>
  </cols>
  <sheetData>
    <row r="1" spans="1:20" x14ac:dyDescent="0.4">
      <c r="A1" s="480" t="s">
        <v>60</v>
      </c>
      <c r="B1" s="480"/>
      <c r="C1" s="480"/>
      <c r="F1" s="482"/>
      <c r="G1" s="482"/>
      <c r="H1" s="482"/>
      <c r="I1" s="482"/>
      <c r="J1" s="482"/>
      <c r="N1" s="483"/>
      <c r="O1" s="483"/>
      <c r="S1" s="480" t="s">
        <v>100</v>
      </c>
      <c r="T1" s="480"/>
    </row>
    <row r="2" spans="1:20" x14ac:dyDescent="0.4">
      <c r="A2" s="484" t="s">
        <v>80</v>
      </c>
      <c r="B2" s="484"/>
      <c r="C2" s="484"/>
      <c r="D2" s="484"/>
      <c r="E2" s="484"/>
      <c r="F2" s="484"/>
      <c r="G2" s="484"/>
      <c r="H2" s="484"/>
      <c r="I2" s="484"/>
      <c r="J2" s="484"/>
      <c r="K2" s="484"/>
      <c r="L2" s="484"/>
      <c r="M2" s="484"/>
      <c r="N2" s="484"/>
      <c r="O2" s="484"/>
      <c r="P2" s="484"/>
      <c r="Q2" s="484"/>
      <c r="R2" s="484"/>
      <c r="S2" s="484"/>
      <c r="T2" s="484"/>
    </row>
    <row r="3" spans="1:20" x14ac:dyDescent="0.4">
      <c r="A3" s="485" t="s">
        <v>61</v>
      </c>
      <c r="B3" s="485"/>
      <c r="C3" s="485"/>
      <c r="D3" s="485"/>
      <c r="E3" s="485"/>
      <c r="F3" s="485"/>
      <c r="G3" s="485"/>
      <c r="H3" s="485"/>
      <c r="I3" s="485"/>
      <c r="J3" s="485"/>
      <c r="K3" s="485"/>
      <c r="L3" s="485"/>
      <c r="M3" s="485"/>
      <c r="N3" s="485"/>
      <c r="O3" s="485"/>
      <c r="P3" s="485"/>
      <c r="Q3" s="485"/>
      <c r="R3" s="485"/>
      <c r="S3" s="485"/>
      <c r="T3" s="485"/>
    </row>
    <row r="4" spans="1:20" ht="19.5" customHeight="1" x14ac:dyDescent="0.4">
      <c r="A4" s="479" t="s">
        <v>64</v>
      </c>
      <c r="B4" s="479" t="s">
        <v>81</v>
      </c>
      <c r="C4" s="479" t="s">
        <v>82</v>
      </c>
      <c r="D4" s="479" t="s">
        <v>83</v>
      </c>
      <c r="E4" s="479"/>
      <c r="F4" s="479"/>
      <c r="G4" s="479"/>
      <c r="H4" s="479"/>
      <c r="I4" s="479"/>
      <c r="J4" s="479"/>
      <c r="K4" s="479"/>
      <c r="L4" s="479"/>
      <c r="M4" s="479"/>
      <c r="N4" s="479"/>
      <c r="O4" s="479"/>
      <c r="P4" s="481" t="s">
        <v>84</v>
      </c>
      <c r="Q4" s="479"/>
      <c r="R4" s="479"/>
      <c r="S4" s="479"/>
      <c r="T4" s="479" t="s">
        <v>85</v>
      </c>
    </row>
    <row r="5" spans="1:20" ht="19.5" customHeight="1" x14ac:dyDescent="0.4">
      <c r="A5" s="479"/>
      <c r="B5" s="479"/>
      <c r="C5" s="479"/>
      <c r="D5" s="479" t="s">
        <v>74</v>
      </c>
      <c r="E5" s="479" t="s">
        <v>86</v>
      </c>
      <c r="F5" s="479"/>
      <c r="G5" s="479"/>
      <c r="H5" s="479"/>
      <c r="I5" s="479"/>
      <c r="J5" s="479"/>
      <c r="K5" s="479" t="s">
        <v>87</v>
      </c>
      <c r="L5" s="479"/>
      <c r="M5" s="479"/>
      <c r="N5" s="479" t="s">
        <v>88</v>
      </c>
      <c r="O5" s="479" t="s">
        <v>89</v>
      </c>
      <c r="P5" s="481" t="s">
        <v>74</v>
      </c>
      <c r="Q5" s="479" t="s">
        <v>90</v>
      </c>
      <c r="R5" s="479" t="s">
        <v>91</v>
      </c>
      <c r="S5" s="479" t="s">
        <v>92</v>
      </c>
      <c r="T5" s="479"/>
    </row>
    <row r="6" spans="1:20" ht="21" customHeight="1" x14ac:dyDescent="0.4">
      <c r="A6" s="479"/>
      <c r="B6" s="479"/>
      <c r="C6" s="479"/>
      <c r="D6" s="479"/>
      <c r="E6" s="479" t="s">
        <v>74</v>
      </c>
      <c r="F6" s="479" t="s">
        <v>93</v>
      </c>
      <c r="G6" s="479"/>
      <c r="H6" s="479" t="s">
        <v>94</v>
      </c>
      <c r="I6" s="479" t="s">
        <v>95</v>
      </c>
      <c r="J6" s="479" t="s">
        <v>96</v>
      </c>
      <c r="K6" s="479" t="s">
        <v>74</v>
      </c>
      <c r="L6" s="479" t="s">
        <v>93</v>
      </c>
      <c r="M6" s="479"/>
      <c r="N6" s="479"/>
      <c r="O6" s="479"/>
      <c r="P6" s="481"/>
      <c r="Q6" s="479"/>
      <c r="R6" s="479"/>
      <c r="S6" s="479"/>
      <c r="T6" s="479"/>
    </row>
    <row r="7" spans="1:20" ht="120" customHeight="1" x14ac:dyDescent="0.4">
      <c r="A7" s="479"/>
      <c r="B7" s="479"/>
      <c r="C7" s="479"/>
      <c r="D7" s="479"/>
      <c r="E7" s="479"/>
      <c r="F7" s="328" t="s">
        <v>97</v>
      </c>
      <c r="G7" s="328" t="s">
        <v>98</v>
      </c>
      <c r="H7" s="479"/>
      <c r="I7" s="479"/>
      <c r="J7" s="479"/>
      <c r="K7" s="479"/>
      <c r="L7" s="328" t="s">
        <v>97</v>
      </c>
      <c r="M7" s="328" t="s">
        <v>98</v>
      </c>
      <c r="N7" s="479"/>
      <c r="O7" s="479"/>
      <c r="P7" s="481"/>
      <c r="Q7" s="479"/>
      <c r="R7" s="479"/>
      <c r="S7" s="479"/>
      <c r="T7" s="479"/>
    </row>
    <row r="8" spans="1:20" s="370" customFormat="1" ht="21.4" customHeight="1" x14ac:dyDescent="0.4">
      <c r="A8" s="369" t="s">
        <v>35</v>
      </c>
      <c r="B8" s="369" t="s">
        <v>36</v>
      </c>
      <c r="C8" s="369" t="s">
        <v>99</v>
      </c>
      <c r="D8" s="369">
        <v>2</v>
      </c>
      <c r="E8" s="369">
        <v>3</v>
      </c>
      <c r="F8" s="369">
        <v>4</v>
      </c>
      <c r="G8" s="369">
        <v>5</v>
      </c>
      <c r="H8" s="369">
        <v>6</v>
      </c>
      <c r="I8" s="369">
        <v>7</v>
      </c>
      <c r="J8" s="369">
        <v>8</v>
      </c>
      <c r="K8" s="369">
        <v>9</v>
      </c>
      <c r="L8" s="369">
        <v>10</v>
      </c>
      <c r="M8" s="369">
        <v>11</v>
      </c>
      <c r="N8" s="369">
        <v>12</v>
      </c>
      <c r="O8" s="369">
        <v>13</v>
      </c>
      <c r="P8" s="369">
        <v>14</v>
      </c>
      <c r="Q8" s="369">
        <v>15</v>
      </c>
      <c r="R8" s="369">
        <v>16</v>
      </c>
      <c r="S8" s="369">
        <v>17</v>
      </c>
      <c r="T8" s="369">
        <v>18</v>
      </c>
    </row>
    <row r="9" spans="1:20" s="332" customFormat="1" ht="49.5" customHeight="1" x14ac:dyDescent="0.45">
      <c r="A9" s="329">
        <v>1</v>
      </c>
      <c r="B9" s="329" t="s">
        <v>59</v>
      </c>
      <c r="C9" s="330">
        <f>D9+P9+T9</f>
        <v>118130</v>
      </c>
      <c r="D9" s="330">
        <v>110662</v>
      </c>
      <c r="E9" s="330">
        <v>3170</v>
      </c>
      <c r="F9" s="331"/>
      <c r="G9" s="331"/>
      <c r="H9" s="330">
        <v>3000</v>
      </c>
      <c r="I9" s="331"/>
      <c r="J9" s="330">
        <v>170</v>
      </c>
      <c r="K9" s="330">
        <v>105279</v>
      </c>
      <c r="L9" s="330">
        <v>70478</v>
      </c>
      <c r="M9" s="331"/>
      <c r="N9" s="330">
        <v>2213</v>
      </c>
      <c r="O9" s="331"/>
      <c r="P9" s="330">
        <f>Q9+R9+S9</f>
        <v>7468</v>
      </c>
      <c r="Q9" s="331"/>
      <c r="R9" s="330">
        <f>7403+60+5</f>
        <v>7468</v>
      </c>
      <c r="S9" s="331"/>
      <c r="T9" s="331"/>
    </row>
    <row r="10" spans="1:20" s="333" customFormat="1" x14ac:dyDescent="0.4"/>
    <row r="11" spans="1:20" s="333" customFormat="1" x14ac:dyDescent="0.4"/>
    <row r="12" spans="1:20" s="333" customFormat="1" x14ac:dyDescent="0.4"/>
    <row r="13" spans="1:20" s="333" customFormat="1" x14ac:dyDescent="0.4"/>
    <row r="14" spans="1:20" s="333" customFormat="1" x14ac:dyDescent="0.4"/>
    <row r="15" spans="1:20" s="333" customFormat="1" x14ac:dyDescent="0.4"/>
    <row r="16" spans="1:20" s="333" customFormat="1" x14ac:dyDescent="0.4"/>
    <row r="17" s="334" customFormat="1" x14ac:dyDescent="0.4"/>
    <row r="18" s="334" customFormat="1" x14ac:dyDescent="0.4"/>
    <row r="19" s="334" customFormat="1" x14ac:dyDescent="0.4"/>
    <row r="20" s="334" customFormat="1" x14ac:dyDescent="0.4"/>
  </sheetData>
  <mergeCells count="28">
    <mergeCell ref="A1:C1"/>
    <mergeCell ref="O5:O7"/>
    <mergeCell ref="P5:P7"/>
    <mergeCell ref="A4:A7"/>
    <mergeCell ref="B4:B7"/>
    <mergeCell ref="C4:C7"/>
    <mergeCell ref="D4:O4"/>
    <mergeCell ref="P4:S4"/>
    <mergeCell ref="F1:J1"/>
    <mergeCell ref="N1:O1"/>
    <mergeCell ref="S1:T1"/>
    <mergeCell ref="A2:T2"/>
    <mergeCell ref="A3:T3"/>
    <mergeCell ref="T4:T7"/>
    <mergeCell ref="D5:D7"/>
    <mergeCell ref="E5:J5"/>
    <mergeCell ref="K5:M5"/>
    <mergeCell ref="N5:N7"/>
    <mergeCell ref="Q5:Q7"/>
    <mergeCell ref="R5:R7"/>
    <mergeCell ref="S5:S7"/>
    <mergeCell ref="K6:K7"/>
    <mergeCell ref="L6:M6"/>
    <mergeCell ref="E6:E7"/>
    <mergeCell ref="F6:G6"/>
    <mergeCell ref="H6:H7"/>
    <mergeCell ref="I6:I7"/>
    <mergeCell ref="J6:J7"/>
  </mergeCells>
  <pageMargins left="0.43307086614173229" right="0.43307086614173229" top="0.55118110236220474" bottom="0.74803149606299213" header="0.31496062992125984" footer="0.31496062992125984"/>
  <pageSetup paperSize="9" scale="6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E15" sqref="E15"/>
    </sheetView>
  </sheetViews>
  <sheetFormatPr defaultColWidth="8.86328125" defaultRowHeight="13.15" x14ac:dyDescent="0.4"/>
  <cols>
    <col min="1" max="1" width="5.73046875" style="335" customWidth="1"/>
    <col min="2" max="2" width="27" style="335" customWidth="1"/>
    <col min="3" max="3" width="12.59765625" style="335" customWidth="1"/>
    <col min="4" max="4" width="12.265625" style="335" customWidth="1"/>
    <col min="5" max="5" width="11.265625" style="335" customWidth="1"/>
    <col min="6" max="6" width="11.86328125" style="335" customWidth="1"/>
    <col min="7" max="7" width="10.86328125" style="335" customWidth="1"/>
    <col min="8" max="8" width="11.73046875" style="335" customWidth="1"/>
    <col min="9" max="9" width="11.59765625" style="335" customWidth="1"/>
    <col min="10" max="10" width="16.59765625" style="335" customWidth="1"/>
    <col min="11" max="11" width="9.86328125" style="335" customWidth="1"/>
    <col min="12" max="12" width="9" style="335" customWidth="1"/>
    <col min="13" max="14" width="8.86328125" style="335"/>
    <col min="15" max="15" width="9.1328125" style="335" bestFit="1" customWidth="1"/>
    <col min="16" max="256" width="8.86328125" style="335"/>
    <col min="257" max="257" width="5.73046875" style="335" customWidth="1"/>
    <col min="258" max="258" width="27" style="335" customWidth="1"/>
    <col min="259" max="259" width="12.59765625" style="335" customWidth="1"/>
    <col min="260" max="260" width="12.265625" style="335" customWidth="1"/>
    <col min="261" max="261" width="11.265625" style="335" customWidth="1"/>
    <col min="262" max="262" width="11.86328125" style="335" customWidth="1"/>
    <col min="263" max="263" width="10.86328125" style="335" customWidth="1"/>
    <col min="264" max="264" width="11.73046875" style="335" customWidth="1"/>
    <col min="265" max="265" width="11.59765625" style="335" customWidth="1"/>
    <col min="266" max="266" width="16.59765625" style="335" customWidth="1"/>
    <col min="267" max="267" width="9.86328125" style="335" customWidth="1"/>
    <col min="268" max="268" width="9" style="335" customWidth="1"/>
    <col min="269" max="270" width="8.86328125" style="335"/>
    <col min="271" max="271" width="9.1328125" style="335" bestFit="1" customWidth="1"/>
    <col min="272" max="512" width="8.86328125" style="335"/>
    <col min="513" max="513" width="5.73046875" style="335" customWidth="1"/>
    <col min="514" max="514" width="27" style="335" customWidth="1"/>
    <col min="515" max="515" width="12.59765625" style="335" customWidth="1"/>
    <col min="516" max="516" width="12.265625" style="335" customWidth="1"/>
    <col min="517" max="517" width="11.265625" style="335" customWidth="1"/>
    <col min="518" max="518" width="11.86328125" style="335" customWidth="1"/>
    <col min="519" max="519" width="10.86328125" style="335" customWidth="1"/>
    <col min="520" max="520" width="11.73046875" style="335" customWidth="1"/>
    <col min="521" max="521" width="11.59765625" style="335" customWidth="1"/>
    <col min="522" max="522" width="16.59765625" style="335" customWidth="1"/>
    <col min="523" max="523" width="9.86328125" style="335" customWidth="1"/>
    <col min="524" max="524" width="9" style="335" customWidth="1"/>
    <col min="525" max="526" width="8.86328125" style="335"/>
    <col min="527" max="527" width="9.1328125" style="335" bestFit="1" customWidth="1"/>
    <col min="528" max="768" width="8.86328125" style="335"/>
    <col min="769" max="769" width="5.73046875" style="335" customWidth="1"/>
    <col min="770" max="770" width="27" style="335" customWidth="1"/>
    <col min="771" max="771" width="12.59765625" style="335" customWidth="1"/>
    <col min="772" max="772" width="12.265625" style="335" customWidth="1"/>
    <col min="773" max="773" width="11.265625" style="335" customWidth="1"/>
    <col min="774" max="774" width="11.86328125" style="335" customWidth="1"/>
    <col min="775" max="775" width="10.86328125" style="335" customWidth="1"/>
    <col min="776" max="776" width="11.73046875" style="335" customWidth="1"/>
    <col min="777" max="777" width="11.59765625" style="335" customWidth="1"/>
    <col min="778" max="778" width="16.59765625" style="335" customWidth="1"/>
    <col min="779" max="779" width="9.86328125" style="335" customWidth="1"/>
    <col min="780" max="780" width="9" style="335" customWidth="1"/>
    <col min="781" max="782" width="8.86328125" style="335"/>
    <col min="783" max="783" width="9.1328125" style="335" bestFit="1" customWidth="1"/>
    <col min="784" max="1024" width="8.86328125" style="335"/>
    <col min="1025" max="1025" width="5.73046875" style="335" customWidth="1"/>
    <col min="1026" max="1026" width="27" style="335" customWidth="1"/>
    <col min="1027" max="1027" width="12.59765625" style="335" customWidth="1"/>
    <col min="1028" max="1028" width="12.265625" style="335" customWidth="1"/>
    <col min="1029" max="1029" width="11.265625" style="335" customWidth="1"/>
    <col min="1030" max="1030" width="11.86328125" style="335" customWidth="1"/>
    <col min="1031" max="1031" width="10.86328125" style="335" customWidth="1"/>
    <col min="1032" max="1032" width="11.73046875" style="335" customWidth="1"/>
    <col min="1033" max="1033" width="11.59765625" style="335" customWidth="1"/>
    <col min="1034" max="1034" width="16.59765625" style="335" customWidth="1"/>
    <col min="1035" max="1035" width="9.86328125" style="335" customWidth="1"/>
    <col min="1036" max="1036" width="9" style="335" customWidth="1"/>
    <col min="1037" max="1038" width="8.86328125" style="335"/>
    <col min="1039" max="1039" width="9.1328125" style="335" bestFit="1" customWidth="1"/>
    <col min="1040" max="1280" width="8.86328125" style="335"/>
    <col min="1281" max="1281" width="5.73046875" style="335" customWidth="1"/>
    <col min="1282" max="1282" width="27" style="335" customWidth="1"/>
    <col min="1283" max="1283" width="12.59765625" style="335" customWidth="1"/>
    <col min="1284" max="1284" width="12.265625" style="335" customWidth="1"/>
    <col min="1285" max="1285" width="11.265625" style="335" customWidth="1"/>
    <col min="1286" max="1286" width="11.86328125" style="335" customWidth="1"/>
    <col min="1287" max="1287" width="10.86328125" style="335" customWidth="1"/>
    <col min="1288" max="1288" width="11.73046875" style="335" customWidth="1"/>
    <col min="1289" max="1289" width="11.59765625" style="335" customWidth="1"/>
    <col min="1290" max="1290" width="16.59765625" style="335" customWidth="1"/>
    <col min="1291" max="1291" width="9.86328125" style="335" customWidth="1"/>
    <col min="1292" max="1292" width="9" style="335" customWidth="1"/>
    <col min="1293" max="1294" width="8.86328125" style="335"/>
    <col min="1295" max="1295" width="9.1328125" style="335" bestFit="1" customWidth="1"/>
    <col min="1296" max="1536" width="8.86328125" style="335"/>
    <col min="1537" max="1537" width="5.73046875" style="335" customWidth="1"/>
    <col min="1538" max="1538" width="27" style="335" customWidth="1"/>
    <col min="1539" max="1539" width="12.59765625" style="335" customWidth="1"/>
    <col min="1540" max="1540" width="12.265625" style="335" customWidth="1"/>
    <col min="1541" max="1541" width="11.265625" style="335" customWidth="1"/>
    <col min="1542" max="1542" width="11.86328125" style="335" customWidth="1"/>
    <col min="1543" max="1543" width="10.86328125" style="335" customWidth="1"/>
    <col min="1544" max="1544" width="11.73046875" style="335" customWidth="1"/>
    <col min="1545" max="1545" width="11.59765625" style="335" customWidth="1"/>
    <col min="1546" max="1546" width="16.59765625" style="335" customWidth="1"/>
    <col min="1547" max="1547" width="9.86328125" style="335" customWidth="1"/>
    <col min="1548" max="1548" width="9" style="335" customWidth="1"/>
    <col min="1549" max="1550" width="8.86328125" style="335"/>
    <col min="1551" max="1551" width="9.1328125" style="335" bestFit="1" customWidth="1"/>
    <col min="1552" max="1792" width="8.86328125" style="335"/>
    <col min="1793" max="1793" width="5.73046875" style="335" customWidth="1"/>
    <col min="1794" max="1794" width="27" style="335" customWidth="1"/>
    <col min="1795" max="1795" width="12.59765625" style="335" customWidth="1"/>
    <col min="1796" max="1796" width="12.265625" style="335" customWidth="1"/>
    <col min="1797" max="1797" width="11.265625" style="335" customWidth="1"/>
    <col min="1798" max="1798" width="11.86328125" style="335" customWidth="1"/>
    <col min="1799" max="1799" width="10.86328125" style="335" customWidth="1"/>
    <col min="1800" max="1800" width="11.73046875" style="335" customWidth="1"/>
    <col min="1801" max="1801" width="11.59765625" style="335" customWidth="1"/>
    <col min="1802" max="1802" width="16.59765625" style="335" customWidth="1"/>
    <col min="1803" max="1803" width="9.86328125" style="335" customWidth="1"/>
    <col min="1804" max="1804" width="9" style="335" customWidth="1"/>
    <col min="1805" max="1806" width="8.86328125" style="335"/>
    <col min="1807" max="1807" width="9.1328125" style="335" bestFit="1" customWidth="1"/>
    <col min="1808" max="2048" width="8.86328125" style="335"/>
    <col min="2049" max="2049" width="5.73046875" style="335" customWidth="1"/>
    <col min="2050" max="2050" width="27" style="335" customWidth="1"/>
    <col min="2051" max="2051" width="12.59765625" style="335" customWidth="1"/>
    <col min="2052" max="2052" width="12.265625" style="335" customWidth="1"/>
    <col min="2053" max="2053" width="11.265625" style="335" customWidth="1"/>
    <col min="2054" max="2054" width="11.86328125" style="335" customWidth="1"/>
    <col min="2055" max="2055" width="10.86328125" style="335" customWidth="1"/>
    <col min="2056" max="2056" width="11.73046875" style="335" customWidth="1"/>
    <col min="2057" max="2057" width="11.59765625" style="335" customWidth="1"/>
    <col min="2058" max="2058" width="16.59765625" style="335" customWidth="1"/>
    <col min="2059" max="2059" width="9.86328125" style="335" customWidth="1"/>
    <col min="2060" max="2060" width="9" style="335" customWidth="1"/>
    <col min="2061" max="2062" width="8.86328125" style="335"/>
    <col min="2063" max="2063" width="9.1328125" style="335" bestFit="1" customWidth="1"/>
    <col min="2064" max="2304" width="8.86328125" style="335"/>
    <col min="2305" max="2305" width="5.73046875" style="335" customWidth="1"/>
    <col min="2306" max="2306" width="27" style="335" customWidth="1"/>
    <col min="2307" max="2307" width="12.59765625" style="335" customWidth="1"/>
    <col min="2308" max="2308" width="12.265625" style="335" customWidth="1"/>
    <col min="2309" max="2309" width="11.265625" style="335" customWidth="1"/>
    <col min="2310" max="2310" width="11.86328125" style="335" customWidth="1"/>
    <col min="2311" max="2311" width="10.86328125" style="335" customWidth="1"/>
    <col min="2312" max="2312" width="11.73046875" style="335" customWidth="1"/>
    <col min="2313" max="2313" width="11.59765625" style="335" customWidth="1"/>
    <col min="2314" max="2314" width="16.59765625" style="335" customWidth="1"/>
    <col min="2315" max="2315" width="9.86328125" style="335" customWidth="1"/>
    <col min="2316" max="2316" width="9" style="335" customWidth="1"/>
    <col min="2317" max="2318" width="8.86328125" style="335"/>
    <col min="2319" max="2319" width="9.1328125" style="335" bestFit="1" customWidth="1"/>
    <col min="2320" max="2560" width="8.86328125" style="335"/>
    <col min="2561" max="2561" width="5.73046875" style="335" customWidth="1"/>
    <col min="2562" max="2562" width="27" style="335" customWidth="1"/>
    <col min="2563" max="2563" width="12.59765625" style="335" customWidth="1"/>
    <col min="2564" max="2564" width="12.265625" style="335" customWidth="1"/>
    <col min="2565" max="2565" width="11.265625" style="335" customWidth="1"/>
    <col min="2566" max="2566" width="11.86328125" style="335" customWidth="1"/>
    <col min="2567" max="2567" width="10.86328125" style="335" customWidth="1"/>
    <col min="2568" max="2568" width="11.73046875" style="335" customWidth="1"/>
    <col min="2569" max="2569" width="11.59765625" style="335" customWidth="1"/>
    <col min="2570" max="2570" width="16.59765625" style="335" customWidth="1"/>
    <col min="2571" max="2571" width="9.86328125" style="335" customWidth="1"/>
    <col min="2572" max="2572" width="9" style="335" customWidth="1"/>
    <col min="2573" max="2574" width="8.86328125" style="335"/>
    <col min="2575" max="2575" width="9.1328125" style="335" bestFit="1" customWidth="1"/>
    <col min="2576" max="2816" width="8.86328125" style="335"/>
    <col min="2817" max="2817" width="5.73046875" style="335" customWidth="1"/>
    <col min="2818" max="2818" width="27" style="335" customWidth="1"/>
    <col min="2819" max="2819" width="12.59765625" style="335" customWidth="1"/>
    <col min="2820" max="2820" width="12.265625" style="335" customWidth="1"/>
    <col min="2821" max="2821" width="11.265625" style="335" customWidth="1"/>
    <col min="2822" max="2822" width="11.86328125" style="335" customWidth="1"/>
    <col min="2823" max="2823" width="10.86328125" style="335" customWidth="1"/>
    <col min="2824" max="2824" width="11.73046875" style="335" customWidth="1"/>
    <col min="2825" max="2825" width="11.59765625" style="335" customWidth="1"/>
    <col min="2826" max="2826" width="16.59765625" style="335" customWidth="1"/>
    <col min="2827" max="2827" width="9.86328125" style="335" customWidth="1"/>
    <col min="2828" max="2828" width="9" style="335" customWidth="1"/>
    <col min="2829" max="2830" width="8.86328125" style="335"/>
    <col min="2831" max="2831" width="9.1328125" style="335" bestFit="1" customWidth="1"/>
    <col min="2832" max="3072" width="8.86328125" style="335"/>
    <col min="3073" max="3073" width="5.73046875" style="335" customWidth="1"/>
    <col min="3074" max="3074" width="27" style="335" customWidth="1"/>
    <col min="3075" max="3075" width="12.59765625" style="335" customWidth="1"/>
    <col min="3076" max="3076" width="12.265625" style="335" customWidth="1"/>
    <col min="3077" max="3077" width="11.265625" style="335" customWidth="1"/>
    <col min="3078" max="3078" width="11.86328125" style="335" customWidth="1"/>
    <col min="3079" max="3079" width="10.86328125" style="335" customWidth="1"/>
    <col min="3080" max="3080" width="11.73046875" style="335" customWidth="1"/>
    <col min="3081" max="3081" width="11.59765625" style="335" customWidth="1"/>
    <col min="3082" max="3082" width="16.59765625" style="335" customWidth="1"/>
    <col min="3083" max="3083" width="9.86328125" style="335" customWidth="1"/>
    <col min="3084" max="3084" width="9" style="335" customWidth="1"/>
    <col min="3085" max="3086" width="8.86328125" style="335"/>
    <col min="3087" max="3087" width="9.1328125" style="335" bestFit="1" customWidth="1"/>
    <col min="3088" max="3328" width="8.86328125" style="335"/>
    <col min="3329" max="3329" width="5.73046875" style="335" customWidth="1"/>
    <col min="3330" max="3330" width="27" style="335" customWidth="1"/>
    <col min="3331" max="3331" width="12.59765625" style="335" customWidth="1"/>
    <col min="3332" max="3332" width="12.265625" style="335" customWidth="1"/>
    <col min="3333" max="3333" width="11.265625" style="335" customWidth="1"/>
    <col min="3334" max="3334" width="11.86328125" style="335" customWidth="1"/>
    <col min="3335" max="3335" width="10.86328125" style="335" customWidth="1"/>
    <col min="3336" max="3336" width="11.73046875" style="335" customWidth="1"/>
    <col min="3337" max="3337" width="11.59765625" style="335" customWidth="1"/>
    <col min="3338" max="3338" width="16.59765625" style="335" customWidth="1"/>
    <col min="3339" max="3339" width="9.86328125" style="335" customWidth="1"/>
    <col min="3340" max="3340" width="9" style="335" customWidth="1"/>
    <col min="3341" max="3342" width="8.86328125" style="335"/>
    <col min="3343" max="3343" width="9.1328125" style="335" bestFit="1" customWidth="1"/>
    <col min="3344" max="3584" width="8.86328125" style="335"/>
    <col min="3585" max="3585" width="5.73046875" style="335" customWidth="1"/>
    <col min="3586" max="3586" width="27" style="335" customWidth="1"/>
    <col min="3587" max="3587" width="12.59765625" style="335" customWidth="1"/>
    <col min="3588" max="3588" width="12.265625" style="335" customWidth="1"/>
    <col min="3589" max="3589" width="11.265625" style="335" customWidth="1"/>
    <col min="3590" max="3590" width="11.86328125" style="335" customWidth="1"/>
    <col min="3591" max="3591" width="10.86328125" style="335" customWidth="1"/>
    <col min="3592" max="3592" width="11.73046875" style="335" customWidth="1"/>
    <col min="3593" max="3593" width="11.59765625" style="335" customWidth="1"/>
    <col min="3594" max="3594" width="16.59765625" style="335" customWidth="1"/>
    <col min="3595" max="3595" width="9.86328125" style="335" customWidth="1"/>
    <col min="3596" max="3596" width="9" style="335" customWidth="1"/>
    <col min="3597" max="3598" width="8.86328125" style="335"/>
    <col min="3599" max="3599" width="9.1328125" style="335" bestFit="1" customWidth="1"/>
    <col min="3600" max="3840" width="8.86328125" style="335"/>
    <col min="3841" max="3841" width="5.73046875" style="335" customWidth="1"/>
    <col min="3842" max="3842" width="27" style="335" customWidth="1"/>
    <col min="3843" max="3843" width="12.59765625" style="335" customWidth="1"/>
    <col min="3844" max="3844" width="12.265625" style="335" customWidth="1"/>
    <col min="3845" max="3845" width="11.265625" style="335" customWidth="1"/>
    <col min="3846" max="3846" width="11.86328125" style="335" customWidth="1"/>
    <col min="3847" max="3847" width="10.86328125" style="335" customWidth="1"/>
    <col min="3848" max="3848" width="11.73046875" style="335" customWidth="1"/>
    <col min="3849" max="3849" width="11.59765625" style="335" customWidth="1"/>
    <col min="3850" max="3850" width="16.59765625" style="335" customWidth="1"/>
    <col min="3851" max="3851" width="9.86328125" style="335" customWidth="1"/>
    <col min="3852" max="3852" width="9" style="335" customWidth="1"/>
    <col min="3853" max="3854" width="8.86328125" style="335"/>
    <col min="3855" max="3855" width="9.1328125" style="335" bestFit="1" customWidth="1"/>
    <col min="3856" max="4096" width="8.86328125" style="335"/>
    <col min="4097" max="4097" width="5.73046875" style="335" customWidth="1"/>
    <col min="4098" max="4098" width="27" style="335" customWidth="1"/>
    <col min="4099" max="4099" width="12.59765625" style="335" customWidth="1"/>
    <col min="4100" max="4100" width="12.265625" style="335" customWidth="1"/>
    <col min="4101" max="4101" width="11.265625" style="335" customWidth="1"/>
    <col min="4102" max="4102" width="11.86328125" style="335" customWidth="1"/>
    <col min="4103" max="4103" width="10.86328125" style="335" customWidth="1"/>
    <col min="4104" max="4104" width="11.73046875" style="335" customWidth="1"/>
    <col min="4105" max="4105" width="11.59765625" style="335" customWidth="1"/>
    <col min="4106" max="4106" width="16.59765625" style="335" customWidth="1"/>
    <col min="4107" max="4107" width="9.86328125" style="335" customWidth="1"/>
    <col min="4108" max="4108" width="9" style="335" customWidth="1"/>
    <col min="4109" max="4110" width="8.86328125" style="335"/>
    <col min="4111" max="4111" width="9.1328125" style="335" bestFit="1" customWidth="1"/>
    <col min="4112" max="4352" width="8.86328125" style="335"/>
    <col min="4353" max="4353" width="5.73046875" style="335" customWidth="1"/>
    <col min="4354" max="4354" width="27" style="335" customWidth="1"/>
    <col min="4355" max="4355" width="12.59765625" style="335" customWidth="1"/>
    <col min="4356" max="4356" width="12.265625" style="335" customWidth="1"/>
    <col min="4357" max="4357" width="11.265625" style="335" customWidth="1"/>
    <col min="4358" max="4358" width="11.86328125" style="335" customWidth="1"/>
    <col min="4359" max="4359" width="10.86328125" style="335" customWidth="1"/>
    <col min="4360" max="4360" width="11.73046875" style="335" customWidth="1"/>
    <col min="4361" max="4361" width="11.59765625" style="335" customWidth="1"/>
    <col min="4362" max="4362" width="16.59765625" style="335" customWidth="1"/>
    <col min="4363" max="4363" width="9.86328125" style="335" customWidth="1"/>
    <col min="4364" max="4364" width="9" style="335" customWidth="1"/>
    <col min="4365" max="4366" width="8.86328125" style="335"/>
    <col min="4367" max="4367" width="9.1328125" style="335" bestFit="1" customWidth="1"/>
    <col min="4368" max="4608" width="8.86328125" style="335"/>
    <col min="4609" max="4609" width="5.73046875" style="335" customWidth="1"/>
    <col min="4610" max="4610" width="27" style="335" customWidth="1"/>
    <col min="4611" max="4611" width="12.59765625" style="335" customWidth="1"/>
    <col min="4612" max="4612" width="12.265625" style="335" customWidth="1"/>
    <col min="4613" max="4613" width="11.265625" style="335" customWidth="1"/>
    <col min="4614" max="4614" width="11.86328125" style="335" customWidth="1"/>
    <col min="4615" max="4615" width="10.86328125" style="335" customWidth="1"/>
    <col min="4616" max="4616" width="11.73046875" style="335" customWidth="1"/>
    <col min="4617" max="4617" width="11.59765625" style="335" customWidth="1"/>
    <col min="4618" max="4618" width="16.59765625" style="335" customWidth="1"/>
    <col min="4619" max="4619" width="9.86328125" style="335" customWidth="1"/>
    <col min="4620" max="4620" width="9" style="335" customWidth="1"/>
    <col min="4621" max="4622" width="8.86328125" style="335"/>
    <col min="4623" max="4623" width="9.1328125" style="335" bestFit="1" customWidth="1"/>
    <col min="4624" max="4864" width="8.86328125" style="335"/>
    <col min="4865" max="4865" width="5.73046875" style="335" customWidth="1"/>
    <col min="4866" max="4866" width="27" style="335" customWidth="1"/>
    <col min="4867" max="4867" width="12.59765625" style="335" customWidth="1"/>
    <col min="4868" max="4868" width="12.265625" style="335" customWidth="1"/>
    <col min="4869" max="4869" width="11.265625" style="335" customWidth="1"/>
    <col min="4870" max="4870" width="11.86328125" style="335" customWidth="1"/>
    <col min="4871" max="4871" width="10.86328125" style="335" customWidth="1"/>
    <col min="4872" max="4872" width="11.73046875" style="335" customWidth="1"/>
    <col min="4873" max="4873" width="11.59765625" style="335" customWidth="1"/>
    <col min="4874" max="4874" width="16.59765625" style="335" customWidth="1"/>
    <col min="4875" max="4875" width="9.86328125" style="335" customWidth="1"/>
    <col min="4876" max="4876" width="9" style="335" customWidth="1"/>
    <col min="4877" max="4878" width="8.86328125" style="335"/>
    <col min="4879" max="4879" width="9.1328125" style="335" bestFit="1" customWidth="1"/>
    <col min="4880" max="5120" width="8.86328125" style="335"/>
    <col min="5121" max="5121" width="5.73046875" style="335" customWidth="1"/>
    <col min="5122" max="5122" width="27" style="335" customWidth="1"/>
    <col min="5123" max="5123" width="12.59765625" style="335" customWidth="1"/>
    <col min="5124" max="5124" width="12.265625" style="335" customWidth="1"/>
    <col min="5125" max="5125" width="11.265625" style="335" customWidth="1"/>
    <col min="5126" max="5126" width="11.86328125" style="335" customWidth="1"/>
    <col min="5127" max="5127" width="10.86328125" style="335" customWidth="1"/>
    <col min="5128" max="5128" width="11.73046875" style="335" customWidth="1"/>
    <col min="5129" max="5129" width="11.59765625" style="335" customWidth="1"/>
    <col min="5130" max="5130" width="16.59765625" style="335" customWidth="1"/>
    <col min="5131" max="5131" width="9.86328125" style="335" customWidth="1"/>
    <col min="5132" max="5132" width="9" style="335" customWidth="1"/>
    <col min="5133" max="5134" width="8.86328125" style="335"/>
    <col min="5135" max="5135" width="9.1328125" style="335" bestFit="1" customWidth="1"/>
    <col min="5136" max="5376" width="8.86328125" style="335"/>
    <col min="5377" max="5377" width="5.73046875" style="335" customWidth="1"/>
    <col min="5378" max="5378" width="27" style="335" customWidth="1"/>
    <col min="5379" max="5379" width="12.59765625" style="335" customWidth="1"/>
    <col min="5380" max="5380" width="12.265625" style="335" customWidth="1"/>
    <col min="5381" max="5381" width="11.265625" style="335" customWidth="1"/>
    <col min="5382" max="5382" width="11.86328125" style="335" customWidth="1"/>
    <col min="5383" max="5383" width="10.86328125" style="335" customWidth="1"/>
    <col min="5384" max="5384" width="11.73046875" style="335" customWidth="1"/>
    <col min="5385" max="5385" width="11.59765625" style="335" customWidth="1"/>
    <col min="5386" max="5386" width="16.59765625" style="335" customWidth="1"/>
    <col min="5387" max="5387" width="9.86328125" style="335" customWidth="1"/>
    <col min="5388" max="5388" width="9" style="335" customWidth="1"/>
    <col min="5389" max="5390" width="8.86328125" style="335"/>
    <col min="5391" max="5391" width="9.1328125" style="335" bestFit="1" customWidth="1"/>
    <col min="5392" max="5632" width="8.86328125" style="335"/>
    <col min="5633" max="5633" width="5.73046875" style="335" customWidth="1"/>
    <col min="5634" max="5634" width="27" style="335" customWidth="1"/>
    <col min="5635" max="5635" width="12.59765625" style="335" customWidth="1"/>
    <col min="5636" max="5636" width="12.265625" style="335" customWidth="1"/>
    <col min="5637" max="5637" width="11.265625" style="335" customWidth="1"/>
    <col min="5638" max="5638" width="11.86328125" style="335" customWidth="1"/>
    <col min="5639" max="5639" width="10.86328125" style="335" customWidth="1"/>
    <col min="5640" max="5640" width="11.73046875" style="335" customWidth="1"/>
    <col min="5641" max="5641" width="11.59765625" style="335" customWidth="1"/>
    <col min="5642" max="5642" width="16.59765625" style="335" customWidth="1"/>
    <col min="5643" max="5643" width="9.86328125" style="335" customWidth="1"/>
    <col min="5644" max="5644" width="9" style="335" customWidth="1"/>
    <col min="5645" max="5646" width="8.86328125" style="335"/>
    <col min="5647" max="5647" width="9.1328125" style="335" bestFit="1" customWidth="1"/>
    <col min="5648" max="5888" width="8.86328125" style="335"/>
    <col min="5889" max="5889" width="5.73046875" style="335" customWidth="1"/>
    <col min="5890" max="5890" width="27" style="335" customWidth="1"/>
    <col min="5891" max="5891" width="12.59765625" style="335" customWidth="1"/>
    <col min="5892" max="5892" width="12.265625" style="335" customWidth="1"/>
    <col min="5893" max="5893" width="11.265625" style="335" customWidth="1"/>
    <col min="5894" max="5894" width="11.86328125" style="335" customWidth="1"/>
    <col min="5895" max="5895" width="10.86328125" style="335" customWidth="1"/>
    <col min="5896" max="5896" width="11.73046875" style="335" customWidth="1"/>
    <col min="5897" max="5897" width="11.59765625" style="335" customWidth="1"/>
    <col min="5898" max="5898" width="16.59765625" style="335" customWidth="1"/>
    <col min="5899" max="5899" width="9.86328125" style="335" customWidth="1"/>
    <col min="5900" max="5900" width="9" style="335" customWidth="1"/>
    <col min="5901" max="5902" width="8.86328125" style="335"/>
    <col min="5903" max="5903" width="9.1328125" style="335" bestFit="1" customWidth="1"/>
    <col min="5904" max="6144" width="8.86328125" style="335"/>
    <col min="6145" max="6145" width="5.73046875" style="335" customWidth="1"/>
    <col min="6146" max="6146" width="27" style="335" customWidth="1"/>
    <col min="6147" max="6147" width="12.59765625" style="335" customWidth="1"/>
    <col min="6148" max="6148" width="12.265625" style="335" customWidth="1"/>
    <col min="6149" max="6149" width="11.265625" style="335" customWidth="1"/>
    <col min="6150" max="6150" width="11.86328125" style="335" customWidth="1"/>
    <col min="6151" max="6151" width="10.86328125" style="335" customWidth="1"/>
    <col min="6152" max="6152" width="11.73046875" style="335" customWidth="1"/>
    <col min="6153" max="6153" width="11.59765625" style="335" customWidth="1"/>
    <col min="6154" max="6154" width="16.59765625" style="335" customWidth="1"/>
    <col min="6155" max="6155" width="9.86328125" style="335" customWidth="1"/>
    <col min="6156" max="6156" width="9" style="335" customWidth="1"/>
    <col min="6157" max="6158" width="8.86328125" style="335"/>
    <col min="6159" max="6159" width="9.1328125" style="335" bestFit="1" customWidth="1"/>
    <col min="6160" max="6400" width="8.86328125" style="335"/>
    <col min="6401" max="6401" width="5.73046875" style="335" customWidth="1"/>
    <col min="6402" max="6402" width="27" style="335" customWidth="1"/>
    <col min="6403" max="6403" width="12.59765625" style="335" customWidth="1"/>
    <col min="6404" max="6404" width="12.265625" style="335" customWidth="1"/>
    <col min="6405" max="6405" width="11.265625" style="335" customWidth="1"/>
    <col min="6406" max="6406" width="11.86328125" style="335" customWidth="1"/>
    <col min="6407" max="6407" width="10.86328125" style="335" customWidth="1"/>
    <col min="6408" max="6408" width="11.73046875" style="335" customWidth="1"/>
    <col min="6409" max="6409" width="11.59765625" style="335" customWidth="1"/>
    <col min="6410" max="6410" width="16.59765625" style="335" customWidth="1"/>
    <col min="6411" max="6411" width="9.86328125" style="335" customWidth="1"/>
    <col min="6412" max="6412" width="9" style="335" customWidth="1"/>
    <col min="6413" max="6414" width="8.86328125" style="335"/>
    <col min="6415" max="6415" width="9.1328125" style="335" bestFit="1" customWidth="1"/>
    <col min="6416" max="6656" width="8.86328125" style="335"/>
    <col min="6657" max="6657" width="5.73046875" style="335" customWidth="1"/>
    <col min="6658" max="6658" width="27" style="335" customWidth="1"/>
    <col min="6659" max="6659" width="12.59765625" style="335" customWidth="1"/>
    <col min="6660" max="6660" width="12.265625" style="335" customWidth="1"/>
    <col min="6661" max="6661" width="11.265625" style="335" customWidth="1"/>
    <col min="6662" max="6662" width="11.86328125" style="335" customWidth="1"/>
    <col min="6663" max="6663" width="10.86328125" style="335" customWidth="1"/>
    <col min="6664" max="6664" width="11.73046875" style="335" customWidth="1"/>
    <col min="6665" max="6665" width="11.59765625" style="335" customWidth="1"/>
    <col min="6666" max="6666" width="16.59765625" style="335" customWidth="1"/>
    <col min="6667" max="6667" width="9.86328125" style="335" customWidth="1"/>
    <col min="6668" max="6668" width="9" style="335" customWidth="1"/>
    <col min="6669" max="6670" width="8.86328125" style="335"/>
    <col min="6671" max="6671" width="9.1328125" style="335" bestFit="1" customWidth="1"/>
    <col min="6672" max="6912" width="8.86328125" style="335"/>
    <col min="6913" max="6913" width="5.73046875" style="335" customWidth="1"/>
    <col min="6914" max="6914" width="27" style="335" customWidth="1"/>
    <col min="6915" max="6915" width="12.59765625" style="335" customWidth="1"/>
    <col min="6916" max="6916" width="12.265625" style="335" customWidth="1"/>
    <col min="6917" max="6917" width="11.265625" style="335" customWidth="1"/>
    <col min="6918" max="6918" width="11.86328125" style="335" customWidth="1"/>
    <col min="6919" max="6919" width="10.86328125" style="335" customWidth="1"/>
    <col min="6920" max="6920" width="11.73046875" style="335" customWidth="1"/>
    <col min="6921" max="6921" width="11.59765625" style="335" customWidth="1"/>
    <col min="6922" max="6922" width="16.59765625" style="335" customWidth="1"/>
    <col min="6923" max="6923" width="9.86328125" style="335" customWidth="1"/>
    <col min="6924" max="6924" width="9" style="335" customWidth="1"/>
    <col min="6925" max="6926" width="8.86328125" style="335"/>
    <col min="6927" max="6927" width="9.1328125" style="335" bestFit="1" customWidth="1"/>
    <col min="6928" max="7168" width="8.86328125" style="335"/>
    <col min="7169" max="7169" width="5.73046875" style="335" customWidth="1"/>
    <col min="7170" max="7170" width="27" style="335" customWidth="1"/>
    <col min="7171" max="7171" width="12.59765625" style="335" customWidth="1"/>
    <col min="7172" max="7172" width="12.265625" style="335" customWidth="1"/>
    <col min="7173" max="7173" width="11.265625" style="335" customWidth="1"/>
    <col min="7174" max="7174" width="11.86328125" style="335" customWidth="1"/>
    <col min="7175" max="7175" width="10.86328125" style="335" customWidth="1"/>
    <col min="7176" max="7176" width="11.73046875" style="335" customWidth="1"/>
    <col min="7177" max="7177" width="11.59765625" style="335" customWidth="1"/>
    <col min="7178" max="7178" width="16.59765625" style="335" customWidth="1"/>
    <col min="7179" max="7179" width="9.86328125" style="335" customWidth="1"/>
    <col min="7180" max="7180" width="9" style="335" customWidth="1"/>
    <col min="7181" max="7182" width="8.86328125" style="335"/>
    <col min="7183" max="7183" width="9.1328125" style="335" bestFit="1" customWidth="1"/>
    <col min="7184" max="7424" width="8.86328125" style="335"/>
    <col min="7425" max="7425" width="5.73046875" style="335" customWidth="1"/>
    <col min="7426" max="7426" width="27" style="335" customWidth="1"/>
    <col min="7427" max="7427" width="12.59765625" style="335" customWidth="1"/>
    <col min="7428" max="7428" width="12.265625" style="335" customWidth="1"/>
    <col min="7429" max="7429" width="11.265625" style="335" customWidth="1"/>
    <col min="7430" max="7430" width="11.86328125" style="335" customWidth="1"/>
    <col min="7431" max="7431" width="10.86328125" style="335" customWidth="1"/>
    <col min="7432" max="7432" width="11.73046875" style="335" customWidth="1"/>
    <col min="7433" max="7433" width="11.59765625" style="335" customWidth="1"/>
    <col min="7434" max="7434" width="16.59765625" style="335" customWidth="1"/>
    <col min="7435" max="7435" width="9.86328125" style="335" customWidth="1"/>
    <col min="7436" max="7436" width="9" style="335" customWidth="1"/>
    <col min="7437" max="7438" width="8.86328125" style="335"/>
    <col min="7439" max="7439" width="9.1328125" style="335" bestFit="1" customWidth="1"/>
    <col min="7440" max="7680" width="8.86328125" style="335"/>
    <col min="7681" max="7681" width="5.73046875" style="335" customWidth="1"/>
    <col min="7682" max="7682" width="27" style="335" customWidth="1"/>
    <col min="7683" max="7683" width="12.59765625" style="335" customWidth="1"/>
    <col min="7684" max="7684" width="12.265625" style="335" customWidth="1"/>
    <col min="7685" max="7685" width="11.265625" style="335" customWidth="1"/>
    <col min="7686" max="7686" width="11.86328125" style="335" customWidth="1"/>
    <col min="7687" max="7687" width="10.86328125" style="335" customWidth="1"/>
    <col min="7688" max="7688" width="11.73046875" style="335" customWidth="1"/>
    <col min="7689" max="7689" width="11.59765625" style="335" customWidth="1"/>
    <col min="7690" max="7690" width="16.59765625" style="335" customWidth="1"/>
    <col min="7691" max="7691" width="9.86328125" style="335" customWidth="1"/>
    <col min="7692" max="7692" width="9" style="335" customWidth="1"/>
    <col min="7693" max="7694" width="8.86328125" style="335"/>
    <col min="7695" max="7695" width="9.1328125" style="335" bestFit="1" customWidth="1"/>
    <col min="7696" max="7936" width="8.86328125" style="335"/>
    <col min="7937" max="7937" width="5.73046875" style="335" customWidth="1"/>
    <col min="7938" max="7938" width="27" style="335" customWidth="1"/>
    <col min="7939" max="7939" width="12.59765625" style="335" customWidth="1"/>
    <col min="7940" max="7940" width="12.265625" style="335" customWidth="1"/>
    <col min="7941" max="7941" width="11.265625" style="335" customWidth="1"/>
    <col min="7942" max="7942" width="11.86328125" style="335" customWidth="1"/>
    <col min="7943" max="7943" width="10.86328125" style="335" customWidth="1"/>
    <col min="7944" max="7944" width="11.73046875" style="335" customWidth="1"/>
    <col min="7945" max="7945" width="11.59765625" style="335" customWidth="1"/>
    <col min="7946" max="7946" width="16.59765625" style="335" customWidth="1"/>
    <col min="7947" max="7947" width="9.86328125" style="335" customWidth="1"/>
    <col min="7948" max="7948" width="9" style="335" customWidth="1"/>
    <col min="7949" max="7950" width="8.86328125" style="335"/>
    <col min="7951" max="7951" width="9.1328125" style="335" bestFit="1" customWidth="1"/>
    <col min="7952" max="8192" width="8.86328125" style="335"/>
    <col min="8193" max="8193" width="5.73046875" style="335" customWidth="1"/>
    <col min="8194" max="8194" width="27" style="335" customWidth="1"/>
    <col min="8195" max="8195" width="12.59765625" style="335" customWidth="1"/>
    <col min="8196" max="8196" width="12.265625" style="335" customWidth="1"/>
    <col min="8197" max="8197" width="11.265625" style="335" customWidth="1"/>
    <col min="8198" max="8198" width="11.86328125" style="335" customWidth="1"/>
    <col min="8199" max="8199" width="10.86328125" style="335" customWidth="1"/>
    <col min="8200" max="8200" width="11.73046875" style="335" customWidth="1"/>
    <col min="8201" max="8201" width="11.59765625" style="335" customWidth="1"/>
    <col min="8202" max="8202" width="16.59765625" style="335" customWidth="1"/>
    <col min="8203" max="8203" width="9.86328125" style="335" customWidth="1"/>
    <col min="8204" max="8204" width="9" style="335" customWidth="1"/>
    <col min="8205" max="8206" width="8.86328125" style="335"/>
    <col min="8207" max="8207" width="9.1328125" style="335" bestFit="1" customWidth="1"/>
    <col min="8208" max="8448" width="8.86328125" style="335"/>
    <col min="8449" max="8449" width="5.73046875" style="335" customWidth="1"/>
    <col min="8450" max="8450" width="27" style="335" customWidth="1"/>
    <col min="8451" max="8451" width="12.59765625" style="335" customWidth="1"/>
    <col min="8452" max="8452" width="12.265625" style="335" customWidth="1"/>
    <col min="8453" max="8453" width="11.265625" style="335" customWidth="1"/>
    <col min="8454" max="8454" width="11.86328125" style="335" customWidth="1"/>
    <col min="8455" max="8455" width="10.86328125" style="335" customWidth="1"/>
    <col min="8456" max="8456" width="11.73046875" style="335" customWidth="1"/>
    <col min="8457" max="8457" width="11.59765625" style="335" customWidth="1"/>
    <col min="8458" max="8458" width="16.59765625" style="335" customWidth="1"/>
    <col min="8459" max="8459" width="9.86328125" style="335" customWidth="1"/>
    <col min="8460" max="8460" width="9" style="335" customWidth="1"/>
    <col min="8461" max="8462" width="8.86328125" style="335"/>
    <col min="8463" max="8463" width="9.1328125" style="335" bestFit="1" customWidth="1"/>
    <col min="8464" max="8704" width="8.86328125" style="335"/>
    <col min="8705" max="8705" width="5.73046875" style="335" customWidth="1"/>
    <col min="8706" max="8706" width="27" style="335" customWidth="1"/>
    <col min="8707" max="8707" width="12.59765625" style="335" customWidth="1"/>
    <col min="8708" max="8708" width="12.265625" style="335" customWidth="1"/>
    <col min="8709" max="8709" width="11.265625" style="335" customWidth="1"/>
    <col min="8710" max="8710" width="11.86328125" style="335" customWidth="1"/>
    <col min="8711" max="8711" width="10.86328125" style="335" customWidth="1"/>
    <col min="8712" max="8712" width="11.73046875" style="335" customWidth="1"/>
    <col min="8713" max="8713" width="11.59765625" style="335" customWidth="1"/>
    <col min="8714" max="8714" width="16.59765625" style="335" customWidth="1"/>
    <col min="8715" max="8715" width="9.86328125" style="335" customWidth="1"/>
    <col min="8716" max="8716" width="9" style="335" customWidth="1"/>
    <col min="8717" max="8718" width="8.86328125" style="335"/>
    <col min="8719" max="8719" width="9.1328125" style="335" bestFit="1" customWidth="1"/>
    <col min="8720" max="8960" width="8.86328125" style="335"/>
    <col min="8961" max="8961" width="5.73046875" style="335" customWidth="1"/>
    <col min="8962" max="8962" width="27" style="335" customWidth="1"/>
    <col min="8963" max="8963" width="12.59765625" style="335" customWidth="1"/>
    <col min="8964" max="8964" width="12.265625" style="335" customWidth="1"/>
    <col min="8965" max="8965" width="11.265625" style="335" customWidth="1"/>
    <col min="8966" max="8966" width="11.86328125" style="335" customWidth="1"/>
    <col min="8967" max="8967" width="10.86328125" style="335" customWidth="1"/>
    <col min="8968" max="8968" width="11.73046875" style="335" customWidth="1"/>
    <col min="8969" max="8969" width="11.59765625" style="335" customWidth="1"/>
    <col min="8970" max="8970" width="16.59765625" style="335" customWidth="1"/>
    <col min="8971" max="8971" width="9.86328125" style="335" customWidth="1"/>
    <col min="8972" max="8972" width="9" style="335" customWidth="1"/>
    <col min="8973" max="8974" width="8.86328125" style="335"/>
    <col min="8975" max="8975" width="9.1328125" style="335" bestFit="1" customWidth="1"/>
    <col min="8976" max="9216" width="8.86328125" style="335"/>
    <col min="9217" max="9217" width="5.73046875" style="335" customWidth="1"/>
    <col min="9218" max="9218" width="27" style="335" customWidth="1"/>
    <col min="9219" max="9219" width="12.59765625" style="335" customWidth="1"/>
    <col min="9220" max="9220" width="12.265625" style="335" customWidth="1"/>
    <col min="9221" max="9221" width="11.265625" style="335" customWidth="1"/>
    <col min="9222" max="9222" width="11.86328125" style="335" customWidth="1"/>
    <col min="9223" max="9223" width="10.86328125" style="335" customWidth="1"/>
    <col min="9224" max="9224" width="11.73046875" style="335" customWidth="1"/>
    <col min="9225" max="9225" width="11.59765625" style="335" customWidth="1"/>
    <col min="9226" max="9226" width="16.59765625" style="335" customWidth="1"/>
    <col min="9227" max="9227" width="9.86328125" style="335" customWidth="1"/>
    <col min="9228" max="9228" width="9" style="335" customWidth="1"/>
    <col min="9229" max="9230" width="8.86328125" style="335"/>
    <col min="9231" max="9231" width="9.1328125" style="335" bestFit="1" customWidth="1"/>
    <col min="9232" max="9472" width="8.86328125" style="335"/>
    <col min="9473" max="9473" width="5.73046875" style="335" customWidth="1"/>
    <col min="9474" max="9474" width="27" style="335" customWidth="1"/>
    <col min="9475" max="9475" width="12.59765625" style="335" customWidth="1"/>
    <col min="9476" max="9476" width="12.265625" style="335" customWidth="1"/>
    <col min="9477" max="9477" width="11.265625" style="335" customWidth="1"/>
    <col min="9478" max="9478" width="11.86328125" style="335" customWidth="1"/>
    <col min="9479" max="9479" width="10.86328125" style="335" customWidth="1"/>
    <col min="9480" max="9480" width="11.73046875" style="335" customWidth="1"/>
    <col min="9481" max="9481" width="11.59765625" style="335" customWidth="1"/>
    <col min="9482" max="9482" width="16.59765625" style="335" customWidth="1"/>
    <col min="9483" max="9483" width="9.86328125" style="335" customWidth="1"/>
    <col min="9484" max="9484" width="9" style="335" customWidth="1"/>
    <col min="9485" max="9486" width="8.86328125" style="335"/>
    <col min="9487" max="9487" width="9.1328125" style="335" bestFit="1" customWidth="1"/>
    <col min="9488" max="9728" width="8.86328125" style="335"/>
    <col min="9729" max="9729" width="5.73046875" style="335" customWidth="1"/>
    <col min="9730" max="9730" width="27" style="335" customWidth="1"/>
    <col min="9731" max="9731" width="12.59765625" style="335" customWidth="1"/>
    <col min="9732" max="9732" width="12.265625" style="335" customWidth="1"/>
    <col min="9733" max="9733" width="11.265625" style="335" customWidth="1"/>
    <col min="9734" max="9734" width="11.86328125" style="335" customWidth="1"/>
    <col min="9735" max="9735" width="10.86328125" style="335" customWidth="1"/>
    <col min="9736" max="9736" width="11.73046875" style="335" customWidth="1"/>
    <col min="9737" max="9737" width="11.59765625" style="335" customWidth="1"/>
    <col min="9738" max="9738" width="16.59765625" style="335" customWidth="1"/>
    <col min="9739" max="9739" width="9.86328125" style="335" customWidth="1"/>
    <col min="9740" max="9740" width="9" style="335" customWidth="1"/>
    <col min="9741" max="9742" width="8.86328125" style="335"/>
    <col min="9743" max="9743" width="9.1328125" style="335" bestFit="1" customWidth="1"/>
    <col min="9744" max="9984" width="8.86328125" style="335"/>
    <col min="9985" max="9985" width="5.73046875" style="335" customWidth="1"/>
    <col min="9986" max="9986" width="27" style="335" customWidth="1"/>
    <col min="9987" max="9987" width="12.59765625" style="335" customWidth="1"/>
    <col min="9988" max="9988" width="12.265625" style="335" customWidth="1"/>
    <col min="9989" max="9989" width="11.265625" style="335" customWidth="1"/>
    <col min="9990" max="9990" width="11.86328125" style="335" customWidth="1"/>
    <col min="9991" max="9991" width="10.86328125" style="335" customWidth="1"/>
    <col min="9992" max="9992" width="11.73046875" style="335" customWidth="1"/>
    <col min="9993" max="9993" width="11.59765625" style="335" customWidth="1"/>
    <col min="9994" max="9994" width="16.59765625" style="335" customWidth="1"/>
    <col min="9995" max="9995" width="9.86328125" style="335" customWidth="1"/>
    <col min="9996" max="9996" width="9" style="335" customWidth="1"/>
    <col min="9997" max="9998" width="8.86328125" style="335"/>
    <col min="9999" max="9999" width="9.1328125" style="335" bestFit="1" customWidth="1"/>
    <col min="10000" max="10240" width="8.86328125" style="335"/>
    <col min="10241" max="10241" width="5.73046875" style="335" customWidth="1"/>
    <col min="10242" max="10242" width="27" style="335" customWidth="1"/>
    <col min="10243" max="10243" width="12.59765625" style="335" customWidth="1"/>
    <col min="10244" max="10244" width="12.265625" style="335" customWidth="1"/>
    <col min="10245" max="10245" width="11.265625" style="335" customWidth="1"/>
    <col min="10246" max="10246" width="11.86328125" style="335" customWidth="1"/>
    <col min="10247" max="10247" width="10.86328125" style="335" customWidth="1"/>
    <col min="10248" max="10248" width="11.73046875" style="335" customWidth="1"/>
    <col min="10249" max="10249" width="11.59765625" style="335" customWidth="1"/>
    <col min="10250" max="10250" width="16.59765625" style="335" customWidth="1"/>
    <col min="10251" max="10251" width="9.86328125" style="335" customWidth="1"/>
    <col min="10252" max="10252" width="9" style="335" customWidth="1"/>
    <col min="10253" max="10254" width="8.86328125" style="335"/>
    <col min="10255" max="10255" width="9.1328125" style="335" bestFit="1" customWidth="1"/>
    <col min="10256" max="10496" width="8.86328125" style="335"/>
    <col min="10497" max="10497" width="5.73046875" style="335" customWidth="1"/>
    <col min="10498" max="10498" width="27" style="335" customWidth="1"/>
    <col min="10499" max="10499" width="12.59765625" style="335" customWidth="1"/>
    <col min="10500" max="10500" width="12.265625" style="335" customWidth="1"/>
    <col min="10501" max="10501" width="11.265625" style="335" customWidth="1"/>
    <col min="10502" max="10502" width="11.86328125" style="335" customWidth="1"/>
    <col min="10503" max="10503" width="10.86328125" style="335" customWidth="1"/>
    <col min="10504" max="10504" width="11.73046875" style="335" customWidth="1"/>
    <col min="10505" max="10505" width="11.59765625" style="335" customWidth="1"/>
    <col min="10506" max="10506" width="16.59765625" style="335" customWidth="1"/>
    <col min="10507" max="10507" width="9.86328125" style="335" customWidth="1"/>
    <col min="10508" max="10508" width="9" style="335" customWidth="1"/>
    <col min="10509" max="10510" width="8.86328125" style="335"/>
    <col min="10511" max="10511" width="9.1328125" style="335" bestFit="1" customWidth="1"/>
    <col min="10512" max="10752" width="8.86328125" style="335"/>
    <col min="10753" max="10753" width="5.73046875" style="335" customWidth="1"/>
    <col min="10754" max="10754" width="27" style="335" customWidth="1"/>
    <col min="10755" max="10755" width="12.59765625" style="335" customWidth="1"/>
    <col min="10756" max="10756" width="12.265625" style="335" customWidth="1"/>
    <col min="10757" max="10757" width="11.265625" style="335" customWidth="1"/>
    <col min="10758" max="10758" width="11.86328125" style="335" customWidth="1"/>
    <col min="10759" max="10759" width="10.86328125" style="335" customWidth="1"/>
    <col min="10760" max="10760" width="11.73046875" style="335" customWidth="1"/>
    <col min="10761" max="10761" width="11.59765625" style="335" customWidth="1"/>
    <col min="10762" max="10762" width="16.59765625" style="335" customWidth="1"/>
    <col min="10763" max="10763" width="9.86328125" style="335" customWidth="1"/>
    <col min="10764" max="10764" width="9" style="335" customWidth="1"/>
    <col min="10765" max="10766" width="8.86328125" style="335"/>
    <col min="10767" max="10767" width="9.1328125" style="335" bestFit="1" customWidth="1"/>
    <col min="10768" max="11008" width="8.86328125" style="335"/>
    <col min="11009" max="11009" width="5.73046875" style="335" customWidth="1"/>
    <col min="11010" max="11010" width="27" style="335" customWidth="1"/>
    <col min="11011" max="11011" width="12.59765625" style="335" customWidth="1"/>
    <col min="11012" max="11012" width="12.265625" style="335" customWidth="1"/>
    <col min="11013" max="11013" width="11.265625" style="335" customWidth="1"/>
    <col min="11014" max="11014" width="11.86328125" style="335" customWidth="1"/>
    <col min="11015" max="11015" width="10.86328125" style="335" customWidth="1"/>
    <col min="11016" max="11016" width="11.73046875" style="335" customWidth="1"/>
    <col min="11017" max="11017" width="11.59765625" style="335" customWidth="1"/>
    <col min="11018" max="11018" width="16.59765625" style="335" customWidth="1"/>
    <col min="11019" max="11019" width="9.86328125" style="335" customWidth="1"/>
    <col min="11020" max="11020" width="9" style="335" customWidth="1"/>
    <col min="11021" max="11022" width="8.86328125" style="335"/>
    <col min="11023" max="11023" width="9.1328125" style="335" bestFit="1" customWidth="1"/>
    <col min="11024" max="11264" width="8.86328125" style="335"/>
    <col min="11265" max="11265" width="5.73046875" style="335" customWidth="1"/>
    <col min="11266" max="11266" width="27" style="335" customWidth="1"/>
    <col min="11267" max="11267" width="12.59765625" style="335" customWidth="1"/>
    <col min="11268" max="11268" width="12.265625" style="335" customWidth="1"/>
    <col min="11269" max="11269" width="11.265625" style="335" customWidth="1"/>
    <col min="11270" max="11270" width="11.86328125" style="335" customWidth="1"/>
    <col min="11271" max="11271" width="10.86328125" style="335" customWidth="1"/>
    <col min="11272" max="11272" width="11.73046875" style="335" customWidth="1"/>
    <col min="11273" max="11273" width="11.59765625" style="335" customWidth="1"/>
    <col min="11274" max="11274" width="16.59765625" style="335" customWidth="1"/>
    <col min="11275" max="11275" width="9.86328125" style="335" customWidth="1"/>
    <col min="11276" max="11276" width="9" style="335" customWidth="1"/>
    <col min="11277" max="11278" width="8.86328125" style="335"/>
    <col min="11279" max="11279" width="9.1328125" style="335" bestFit="1" customWidth="1"/>
    <col min="11280" max="11520" width="8.86328125" style="335"/>
    <col min="11521" max="11521" width="5.73046875" style="335" customWidth="1"/>
    <col min="11522" max="11522" width="27" style="335" customWidth="1"/>
    <col min="11523" max="11523" width="12.59765625" style="335" customWidth="1"/>
    <col min="11524" max="11524" width="12.265625" style="335" customWidth="1"/>
    <col min="11525" max="11525" width="11.265625" style="335" customWidth="1"/>
    <col min="11526" max="11526" width="11.86328125" style="335" customWidth="1"/>
    <col min="11527" max="11527" width="10.86328125" style="335" customWidth="1"/>
    <col min="11528" max="11528" width="11.73046875" style="335" customWidth="1"/>
    <col min="11529" max="11529" width="11.59765625" style="335" customWidth="1"/>
    <col min="11530" max="11530" width="16.59765625" style="335" customWidth="1"/>
    <col min="11531" max="11531" width="9.86328125" style="335" customWidth="1"/>
    <col min="11532" max="11532" width="9" style="335" customWidth="1"/>
    <col min="11533" max="11534" width="8.86328125" style="335"/>
    <col min="11535" max="11535" width="9.1328125" style="335" bestFit="1" customWidth="1"/>
    <col min="11536" max="11776" width="8.86328125" style="335"/>
    <col min="11777" max="11777" width="5.73046875" style="335" customWidth="1"/>
    <col min="11778" max="11778" width="27" style="335" customWidth="1"/>
    <col min="11779" max="11779" width="12.59765625" style="335" customWidth="1"/>
    <col min="11780" max="11780" width="12.265625" style="335" customWidth="1"/>
    <col min="11781" max="11781" width="11.265625" style="335" customWidth="1"/>
    <col min="11782" max="11782" width="11.86328125" style="335" customWidth="1"/>
    <col min="11783" max="11783" width="10.86328125" style="335" customWidth="1"/>
    <col min="11784" max="11784" width="11.73046875" style="335" customWidth="1"/>
    <col min="11785" max="11785" width="11.59765625" style="335" customWidth="1"/>
    <col min="11786" max="11786" width="16.59765625" style="335" customWidth="1"/>
    <col min="11787" max="11787" width="9.86328125" style="335" customWidth="1"/>
    <col min="11788" max="11788" width="9" style="335" customWidth="1"/>
    <col min="11789" max="11790" width="8.86328125" style="335"/>
    <col min="11791" max="11791" width="9.1328125" style="335" bestFit="1" customWidth="1"/>
    <col min="11792" max="12032" width="8.86328125" style="335"/>
    <col min="12033" max="12033" width="5.73046875" style="335" customWidth="1"/>
    <col min="12034" max="12034" width="27" style="335" customWidth="1"/>
    <col min="12035" max="12035" width="12.59765625" style="335" customWidth="1"/>
    <col min="12036" max="12036" width="12.265625" style="335" customWidth="1"/>
    <col min="12037" max="12037" width="11.265625" style="335" customWidth="1"/>
    <col min="12038" max="12038" width="11.86328125" style="335" customWidth="1"/>
    <col min="12039" max="12039" width="10.86328125" style="335" customWidth="1"/>
    <col min="12040" max="12040" width="11.73046875" style="335" customWidth="1"/>
    <col min="12041" max="12041" width="11.59765625" style="335" customWidth="1"/>
    <col min="12042" max="12042" width="16.59765625" style="335" customWidth="1"/>
    <col min="12043" max="12043" width="9.86328125" style="335" customWidth="1"/>
    <col min="12044" max="12044" width="9" style="335" customWidth="1"/>
    <col min="12045" max="12046" width="8.86328125" style="335"/>
    <col min="12047" max="12047" width="9.1328125" style="335" bestFit="1" customWidth="1"/>
    <col min="12048" max="12288" width="8.86328125" style="335"/>
    <col min="12289" max="12289" width="5.73046875" style="335" customWidth="1"/>
    <col min="12290" max="12290" width="27" style="335" customWidth="1"/>
    <col min="12291" max="12291" width="12.59765625" style="335" customWidth="1"/>
    <col min="12292" max="12292" width="12.265625" style="335" customWidth="1"/>
    <col min="12293" max="12293" width="11.265625" style="335" customWidth="1"/>
    <col min="12294" max="12294" width="11.86328125" style="335" customWidth="1"/>
    <col min="12295" max="12295" width="10.86328125" style="335" customWidth="1"/>
    <col min="12296" max="12296" width="11.73046875" style="335" customWidth="1"/>
    <col min="12297" max="12297" width="11.59765625" style="335" customWidth="1"/>
    <col min="12298" max="12298" width="16.59765625" style="335" customWidth="1"/>
    <col min="12299" max="12299" width="9.86328125" style="335" customWidth="1"/>
    <col min="12300" max="12300" width="9" style="335" customWidth="1"/>
    <col min="12301" max="12302" width="8.86328125" style="335"/>
    <col min="12303" max="12303" width="9.1328125" style="335" bestFit="1" customWidth="1"/>
    <col min="12304" max="12544" width="8.86328125" style="335"/>
    <col min="12545" max="12545" width="5.73046875" style="335" customWidth="1"/>
    <col min="12546" max="12546" width="27" style="335" customWidth="1"/>
    <col min="12547" max="12547" width="12.59765625" style="335" customWidth="1"/>
    <col min="12548" max="12548" width="12.265625" style="335" customWidth="1"/>
    <col min="12549" max="12549" width="11.265625" style="335" customWidth="1"/>
    <col min="12550" max="12550" width="11.86328125" style="335" customWidth="1"/>
    <col min="12551" max="12551" width="10.86328125" style="335" customWidth="1"/>
    <col min="12552" max="12552" width="11.73046875" style="335" customWidth="1"/>
    <col min="12553" max="12553" width="11.59765625" style="335" customWidth="1"/>
    <col min="12554" max="12554" width="16.59765625" style="335" customWidth="1"/>
    <col min="12555" max="12555" width="9.86328125" style="335" customWidth="1"/>
    <col min="12556" max="12556" width="9" style="335" customWidth="1"/>
    <col min="12557" max="12558" width="8.86328125" style="335"/>
    <col min="12559" max="12559" width="9.1328125" style="335" bestFit="1" customWidth="1"/>
    <col min="12560" max="12800" width="8.86328125" style="335"/>
    <col min="12801" max="12801" width="5.73046875" style="335" customWidth="1"/>
    <col min="12802" max="12802" width="27" style="335" customWidth="1"/>
    <col min="12803" max="12803" width="12.59765625" style="335" customWidth="1"/>
    <col min="12804" max="12804" width="12.265625" style="335" customWidth="1"/>
    <col min="12805" max="12805" width="11.265625" style="335" customWidth="1"/>
    <col min="12806" max="12806" width="11.86328125" style="335" customWidth="1"/>
    <col min="12807" max="12807" width="10.86328125" style="335" customWidth="1"/>
    <col min="12808" max="12808" width="11.73046875" style="335" customWidth="1"/>
    <col min="12809" max="12809" width="11.59765625" style="335" customWidth="1"/>
    <col min="12810" max="12810" width="16.59765625" style="335" customWidth="1"/>
    <col min="12811" max="12811" width="9.86328125" style="335" customWidth="1"/>
    <col min="12812" max="12812" width="9" style="335" customWidth="1"/>
    <col min="12813" max="12814" width="8.86328125" style="335"/>
    <col min="12815" max="12815" width="9.1328125" style="335" bestFit="1" customWidth="1"/>
    <col min="12816" max="13056" width="8.86328125" style="335"/>
    <col min="13057" max="13057" width="5.73046875" style="335" customWidth="1"/>
    <col min="13058" max="13058" width="27" style="335" customWidth="1"/>
    <col min="13059" max="13059" width="12.59765625" style="335" customWidth="1"/>
    <col min="13060" max="13060" width="12.265625" style="335" customWidth="1"/>
    <col min="13061" max="13061" width="11.265625" style="335" customWidth="1"/>
    <col min="13062" max="13062" width="11.86328125" style="335" customWidth="1"/>
    <col min="13063" max="13063" width="10.86328125" style="335" customWidth="1"/>
    <col min="13064" max="13064" width="11.73046875" style="335" customWidth="1"/>
    <col min="13065" max="13065" width="11.59765625" style="335" customWidth="1"/>
    <col min="13066" max="13066" width="16.59765625" style="335" customWidth="1"/>
    <col min="13067" max="13067" width="9.86328125" style="335" customWidth="1"/>
    <col min="13068" max="13068" width="9" style="335" customWidth="1"/>
    <col min="13069" max="13070" width="8.86328125" style="335"/>
    <col min="13071" max="13071" width="9.1328125" style="335" bestFit="1" customWidth="1"/>
    <col min="13072" max="13312" width="8.86328125" style="335"/>
    <col min="13313" max="13313" width="5.73046875" style="335" customWidth="1"/>
    <col min="13314" max="13314" width="27" style="335" customWidth="1"/>
    <col min="13315" max="13315" width="12.59765625" style="335" customWidth="1"/>
    <col min="13316" max="13316" width="12.265625" style="335" customWidth="1"/>
    <col min="13317" max="13317" width="11.265625" style="335" customWidth="1"/>
    <col min="13318" max="13318" width="11.86328125" style="335" customWidth="1"/>
    <col min="13319" max="13319" width="10.86328125" style="335" customWidth="1"/>
    <col min="13320" max="13320" width="11.73046875" style="335" customWidth="1"/>
    <col min="13321" max="13321" width="11.59765625" style="335" customWidth="1"/>
    <col min="13322" max="13322" width="16.59765625" style="335" customWidth="1"/>
    <col min="13323" max="13323" width="9.86328125" style="335" customWidth="1"/>
    <col min="13324" max="13324" width="9" style="335" customWidth="1"/>
    <col min="13325" max="13326" width="8.86328125" style="335"/>
    <col min="13327" max="13327" width="9.1328125" style="335" bestFit="1" customWidth="1"/>
    <col min="13328" max="13568" width="8.86328125" style="335"/>
    <col min="13569" max="13569" width="5.73046875" style="335" customWidth="1"/>
    <col min="13570" max="13570" width="27" style="335" customWidth="1"/>
    <col min="13571" max="13571" width="12.59765625" style="335" customWidth="1"/>
    <col min="13572" max="13572" width="12.265625" style="335" customWidth="1"/>
    <col min="13573" max="13573" width="11.265625" style="335" customWidth="1"/>
    <col min="13574" max="13574" width="11.86328125" style="335" customWidth="1"/>
    <col min="13575" max="13575" width="10.86328125" style="335" customWidth="1"/>
    <col min="13576" max="13576" width="11.73046875" style="335" customWidth="1"/>
    <col min="13577" max="13577" width="11.59765625" style="335" customWidth="1"/>
    <col min="13578" max="13578" width="16.59765625" style="335" customWidth="1"/>
    <col min="13579" max="13579" width="9.86328125" style="335" customWidth="1"/>
    <col min="13580" max="13580" width="9" style="335" customWidth="1"/>
    <col min="13581" max="13582" width="8.86328125" style="335"/>
    <col min="13583" max="13583" width="9.1328125" style="335" bestFit="1" customWidth="1"/>
    <col min="13584" max="13824" width="8.86328125" style="335"/>
    <col min="13825" max="13825" width="5.73046875" style="335" customWidth="1"/>
    <col min="13826" max="13826" width="27" style="335" customWidth="1"/>
    <col min="13827" max="13827" width="12.59765625" style="335" customWidth="1"/>
    <col min="13828" max="13828" width="12.265625" style="335" customWidth="1"/>
    <col min="13829" max="13829" width="11.265625" style="335" customWidth="1"/>
    <col min="13830" max="13830" width="11.86328125" style="335" customWidth="1"/>
    <col min="13831" max="13831" width="10.86328125" style="335" customWidth="1"/>
    <col min="13832" max="13832" width="11.73046875" style="335" customWidth="1"/>
    <col min="13833" max="13833" width="11.59765625" style="335" customWidth="1"/>
    <col min="13834" max="13834" width="16.59765625" style="335" customWidth="1"/>
    <col min="13835" max="13835" width="9.86328125" style="335" customWidth="1"/>
    <col min="13836" max="13836" width="9" style="335" customWidth="1"/>
    <col min="13837" max="13838" width="8.86328125" style="335"/>
    <col min="13839" max="13839" width="9.1328125" style="335" bestFit="1" customWidth="1"/>
    <col min="13840" max="14080" width="8.86328125" style="335"/>
    <col min="14081" max="14081" width="5.73046875" style="335" customWidth="1"/>
    <col min="14082" max="14082" width="27" style="335" customWidth="1"/>
    <col min="14083" max="14083" width="12.59765625" style="335" customWidth="1"/>
    <col min="14084" max="14084" width="12.265625" style="335" customWidth="1"/>
    <col min="14085" max="14085" width="11.265625" style="335" customWidth="1"/>
    <col min="14086" max="14086" width="11.86328125" style="335" customWidth="1"/>
    <col min="14087" max="14087" width="10.86328125" style="335" customWidth="1"/>
    <col min="14088" max="14088" width="11.73046875" style="335" customWidth="1"/>
    <col min="14089" max="14089" width="11.59765625" style="335" customWidth="1"/>
    <col min="14090" max="14090" width="16.59765625" style="335" customWidth="1"/>
    <col min="14091" max="14091" width="9.86328125" style="335" customWidth="1"/>
    <col min="14092" max="14092" width="9" style="335" customWidth="1"/>
    <col min="14093" max="14094" width="8.86328125" style="335"/>
    <col min="14095" max="14095" width="9.1328125" style="335" bestFit="1" customWidth="1"/>
    <col min="14096" max="14336" width="8.86328125" style="335"/>
    <col min="14337" max="14337" width="5.73046875" style="335" customWidth="1"/>
    <col min="14338" max="14338" width="27" style="335" customWidth="1"/>
    <col min="14339" max="14339" width="12.59765625" style="335" customWidth="1"/>
    <col min="14340" max="14340" width="12.265625" style="335" customWidth="1"/>
    <col min="14341" max="14341" width="11.265625" style="335" customWidth="1"/>
    <col min="14342" max="14342" width="11.86328125" style="335" customWidth="1"/>
    <col min="14343" max="14343" width="10.86328125" style="335" customWidth="1"/>
    <col min="14344" max="14344" width="11.73046875" style="335" customWidth="1"/>
    <col min="14345" max="14345" width="11.59765625" style="335" customWidth="1"/>
    <col min="14346" max="14346" width="16.59765625" style="335" customWidth="1"/>
    <col min="14347" max="14347" width="9.86328125" style="335" customWidth="1"/>
    <col min="14348" max="14348" width="9" style="335" customWidth="1"/>
    <col min="14349" max="14350" width="8.86328125" style="335"/>
    <col min="14351" max="14351" width="9.1328125" style="335" bestFit="1" customWidth="1"/>
    <col min="14352" max="14592" width="8.86328125" style="335"/>
    <col min="14593" max="14593" width="5.73046875" style="335" customWidth="1"/>
    <col min="14594" max="14594" width="27" style="335" customWidth="1"/>
    <col min="14595" max="14595" width="12.59765625" style="335" customWidth="1"/>
    <col min="14596" max="14596" width="12.265625" style="335" customWidth="1"/>
    <col min="14597" max="14597" width="11.265625" style="335" customWidth="1"/>
    <col min="14598" max="14598" width="11.86328125" style="335" customWidth="1"/>
    <col min="14599" max="14599" width="10.86328125" style="335" customWidth="1"/>
    <col min="14600" max="14600" width="11.73046875" style="335" customWidth="1"/>
    <col min="14601" max="14601" width="11.59765625" style="335" customWidth="1"/>
    <col min="14602" max="14602" width="16.59765625" style="335" customWidth="1"/>
    <col min="14603" max="14603" width="9.86328125" style="335" customWidth="1"/>
    <col min="14604" max="14604" width="9" style="335" customWidth="1"/>
    <col min="14605" max="14606" width="8.86328125" style="335"/>
    <col min="14607" max="14607" width="9.1328125" style="335" bestFit="1" customWidth="1"/>
    <col min="14608" max="14848" width="8.86328125" style="335"/>
    <col min="14849" max="14849" width="5.73046875" style="335" customWidth="1"/>
    <col min="14850" max="14850" width="27" style="335" customWidth="1"/>
    <col min="14851" max="14851" width="12.59765625" style="335" customWidth="1"/>
    <col min="14852" max="14852" width="12.265625" style="335" customWidth="1"/>
    <col min="14853" max="14853" width="11.265625" style="335" customWidth="1"/>
    <col min="14854" max="14854" width="11.86328125" style="335" customWidth="1"/>
    <col min="14855" max="14855" width="10.86328125" style="335" customWidth="1"/>
    <col min="14856" max="14856" width="11.73046875" style="335" customWidth="1"/>
    <col min="14857" max="14857" width="11.59765625" style="335" customWidth="1"/>
    <col min="14858" max="14858" width="16.59765625" style="335" customWidth="1"/>
    <col min="14859" max="14859" width="9.86328125" style="335" customWidth="1"/>
    <col min="14860" max="14860" width="9" style="335" customWidth="1"/>
    <col min="14861" max="14862" width="8.86328125" style="335"/>
    <col min="14863" max="14863" width="9.1328125" style="335" bestFit="1" customWidth="1"/>
    <col min="14864" max="15104" width="8.86328125" style="335"/>
    <col min="15105" max="15105" width="5.73046875" style="335" customWidth="1"/>
    <col min="15106" max="15106" width="27" style="335" customWidth="1"/>
    <col min="15107" max="15107" width="12.59765625" style="335" customWidth="1"/>
    <col min="15108" max="15108" width="12.265625" style="335" customWidth="1"/>
    <col min="15109" max="15109" width="11.265625" style="335" customWidth="1"/>
    <col min="15110" max="15110" width="11.86328125" style="335" customWidth="1"/>
    <col min="15111" max="15111" width="10.86328125" style="335" customWidth="1"/>
    <col min="15112" max="15112" width="11.73046875" style="335" customWidth="1"/>
    <col min="15113" max="15113" width="11.59765625" style="335" customWidth="1"/>
    <col min="15114" max="15114" width="16.59765625" style="335" customWidth="1"/>
    <col min="15115" max="15115" width="9.86328125" style="335" customWidth="1"/>
    <col min="15116" max="15116" width="9" style="335" customWidth="1"/>
    <col min="15117" max="15118" width="8.86328125" style="335"/>
    <col min="15119" max="15119" width="9.1328125" style="335" bestFit="1" customWidth="1"/>
    <col min="15120" max="15360" width="8.86328125" style="335"/>
    <col min="15361" max="15361" width="5.73046875" style="335" customWidth="1"/>
    <col min="15362" max="15362" width="27" style="335" customWidth="1"/>
    <col min="15363" max="15363" width="12.59765625" style="335" customWidth="1"/>
    <col min="15364" max="15364" width="12.265625" style="335" customWidth="1"/>
    <col min="15365" max="15365" width="11.265625" style="335" customWidth="1"/>
    <col min="15366" max="15366" width="11.86328125" style="335" customWidth="1"/>
    <col min="15367" max="15367" width="10.86328125" style="335" customWidth="1"/>
    <col min="15368" max="15368" width="11.73046875" style="335" customWidth="1"/>
    <col min="15369" max="15369" width="11.59765625" style="335" customWidth="1"/>
    <col min="15370" max="15370" width="16.59765625" style="335" customWidth="1"/>
    <col min="15371" max="15371" width="9.86328125" style="335" customWidth="1"/>
    <col min="15372" max="15372" width="9" style="335" customWidth="1"/>
    <col min="15373" max="15374" width="8.86328125" style="335"/>
    <col min="15375" max="15375" width="9.1328125" style="335" bestFit="1" customWidth="1"/>
    <col min="15376" max="15616" width="8.86328125" style="335"/>
    <col min="15617" max="15617" width="5.73046875" style="335" customWidth="1"/>
    <col min="15618" max="15618" width="27" style="335" customWidth="1"/>
    <col min="15619" max="15619" width="12.59765625" style="335" customWidth="1"/>
    <col min="15620" max="15620" width="12.265625" style="335" customWidth="1"/>
    <col min="15621" max="15621" width="11.265625" style="335" customWidth="1"/>
    <col min="15622" max="15622" width="11.86328125" style="335" customWidth="1"/>
    <col min="15623" max="15623" width="10.86328125" style="335" customWidth="1"/>
    <col min="15624" max="15624" width="11.73046875" style="335" customWidth="1"/>
    <col min="15625" max="15625" width="11.59765625" style="335" customWidth="1"/>
    <col min="15626" max="15626" width="16.59765625" style="335" customWidth="1"/>
    <col min="15627" max="15627" width="9.86328125" style="335" customWidth="1"/>
    <col min="15628" max="15628" width="9" style="335" customWidth="1"/>
    <col min="15629" max="15630" width="8.86328125" style="335"/>
    <col min="15631" max="15631" width="9.1328125" style="335" bestFit="1" customWidth="1"/>
    <col min="15632" max="15872" width="8.86328125" style="335"/>
    <col min="15873" max="15873" width="5.73046875" style="335" customWidth="1"/>
    <col min="15874" max="15874" width="27" style="335" customWidth="1"/>
    <col min="15875" max="15875" width="12.59765625" style="335" customWidth="1"/>
    <col min="15876" max="15876" width="12.265625" style="335" customWidth="1"/>
    <col min="15877" max="15877" width="11.265625" style="335" customWidth="1"/>
    <col min="15878" max="15878" width="11.86328125" style="335" customWidth="1"/>
    <col min="15879" max="15879" width="10.86328125" style="335" customWidth="1"/>
    <col min="15880" max="15880" width="11.73046875" style="335" customWidth="1"/>
    <col min="15881" max="15881" width="11.59765625" style="335" customWidth="1"/>
    <col min="15882" max="15882" width="16.59765625" style="335" customWidth="1"/>
    <col min="15883" max="15883" width="9.86328125" style="335" customWidth="1"/>
    <col min="15884" max="15884" width="9" style="335" customWidth="1"/>
    <col min="15885" max="15886" width="8.86328125" style="335"/>
    <col min="15887" max="15887" width="9.1328125" style="335" bestFit="1" customWidth="1"/>
    <col min="15888" max="16128" width="8.86328125" style="335"/>
    <col min="16129" max="16129" width="5.73046875" style="335" customWidth="1"/>
    <col min="16130" max="16130" width="27" style="335" customWidth="1"/>
    <col min="16131" max="16131" width="12.59765625" style="335" customWidth="1"/>
    <col min="16132" max="16132" width="12.265625" style="335" customWidth="1"/>
    <col min="16133" max="16133" width="11.265625" style="335" customWidth="1"/>
    <col min="16134" max="16134" width="11.86328125" style="335" customWidth="1"/>
    <col min="16135" max="16135" width="10.86328125" style="335" customWidth="1"/>
    <col min="16136" max="16136" width="11.73046875" style="335" customWidth="1"/>
    <col min="16137" max="16137" width="11.59765625" style="335" customWidth="1"/>
    <col min="16138" max="16138" width="16.59765625" style="335" customWidth="1"/>
    <col min="16139" max="16139" width="9.86328125" style="335" customWidth="1"/>
    <col min="16140" max="16140" width="9" style="335" customWidth="1"/>
    <col min="16141" max="16142" width="8.86328125" style="335"/>
    <col min="16143" max="16143" width="9.1328125" style="335" bestFit="1" customWidth="1"/>
    <col min="16144" max="16384" width="8.86328125" style="335"/>
  </cols>
  <sheetData>
    <row r="1" spans="1:18" x14ac:dyDescent="0.4">
      <c r="A1" s="447" t="s">
        <v>60</v>
      </c>
      <c r="B1" s="447"/>
      <c r="C1" s="447"/>
      <c r="E1" s="336"/>
      <c r="J1" s="337" t="s">
        <v>0</v>
      </c>
    </row>
    <row r="2" spans="1:18" x14ac:dyDescent="0.4">
      <c r="E2" s="336"/>
      <c r="J2" s="337"/>
    </row>
    <row r="3" spans="1:18" ht="39.75" customHeight="1" x14ac:dyDescent="0.4">
      <c r="A3" s="487" t="s">
        <v>79</v>
      </c>
      <c r="B3" s="487"/>
      <c r="C3" s="487"/>
      <c r="D3" s="487"/>
      <c r="E3" s="487"/>
      <c r="F3" s="487"/>
      <c r="G3" s="487"/>
      <c r="H3" s="487"/>
      <c r="I3" s="487"/>
      <c r="J3" s="487"/>
    </row>
    <row r="4" spans="1:18" x14ac:dyDescent="0.4">
      <c r="A4" s="338"/>
      <c r="B4" s="338"/>
      <c r="C4" s="338"/>
      <c r="D4" s="339"/>
      <c r="E4" s="338"/>
      <c r="F4" s="338"/>
      <c r="G4" s="338"/>
      <c r="H4" s="339"/>
      <c r="I4" s="338"/>
      <c r="J4" s="340" t="s">
        <v>61</v>
      </c>
    </row>
    <row r="5" spans="1:18" ht="24" customHeight="1" x14ac:dyDescent="0.4">
      <c r="A5" s="486" t="s">
        <v>64</v>
      </c>
      <c r="B5" s="486" t="s">
        <v>65</v>
      </c>
      <c r="C5" s="486" t="s">
        <v>66</v>
      </c>
      <c r="D5" s="486" t="s">
        <v>67</v>
      </c>
      <c r="E5" s="486" t="s">
        <v>68</v>
      </c>
      <c r="F5" s="486"/>
      <c r="G5" s="486"/>
      <c r="H5" s="486" t="s">
        <v>69</v>
      </c>
      <c r="I5" s="486" t="s">
        <v>70</v>
      </c>
      <c r="J5" s="486" t="s">
        <v>71</v>
      </c>
    </row>
    <row r="6" spans="1:18" ht="24" customHeight="1" x14ac:dyDescent="0.4">
      <c r="A6" s="486"/>
      <c r="B6" s="486"/>
      <c r="C6" s="486"/>
      <c r="D6" s="486"/>
      <c r="E6" s="486" t="s">
        <v>72</v>
      </c>
      <c r="F6" s="486" t="s">
        <v>73</v>
      </c>
      <c r="G6" s="486"/>
      <c r="H6" s="486"/>
      <c r="I6" s="486"/>
      <c r="J6" s="486"/>
    </row>
    <row r="7" spans="1:18" ht="95.25" customHeight="1" x14ac:dyDescent="0.4">
      <c r="A7" s="486"/>
      <c r="B7" s="486"/>
      <c r="C7" s="486"/>
      <c r="D7" s="486"/>
      <c r="E7" s="486"/>
      <c r="F7" s="341" t="s">
        <v>74</v>
      </c>
      <c r="G7" s="341" t="s">
        <v>75</v>
      </c>
      <c r="H7" s="486"/>
      <c r="I7" s="486"/>
      <c r="J7" s="486"/>
    </row>
    <row r="8" spans="1:18" s="372" customFormat="1" ht="30" customHeight="1" x14ac:dyDescent="0.4">
      <c r="A8" s="311" t="s">
        <v>35</v>
      </c>
      <c r="B8" s="311" t="s">
        <v>36</v>
      </c>
      <c r="C8" s="371" t="s">
        <v>37</v>
      </c>
      <c r="D8" s="371" t="s">
        <v>76</v>
      </c>
      <c r="E8" s="371" t="s">
        <v>39</v>
      </c>
      <c r="F8" s="371" t="s">
        <v>40</v>
      </c>
      <c r="G8" s="371" t="s">
        <v>46</v>
      </c>
      <c r="H8" s="371" t="s">
        <v>47</v>
      </c>
      <c r="I8" s="371" t="s">
        <v>48</v>
      </c>
      <c r="J8" s="371" t="s">
        <v>77</v>
      </c>
    </row>
    <row r="9" spans="1:18" s="344" customFormat="1" ht="43.5" customHeight="1" x14ac:dyDescent="0.45">
      <c r="A9" s="329">
        <v>1</v>
      </c>
      <c r="B9" s="329" t="s">
        <v>59</v>
      </c>
      <c r="C9" s="342">
        <v>25425</v>
      </c>
      <c r="D9" s="342">
        <v>17757</v>
      </c>
      <c r="E9" s="342">
        <v>3248</v>
      </c>
      <c r="F9" s="342">
        <v>22177</v>
      </c>
      <c r="G9" s="342">
        <v>14509</v>
      </c>
      <c r="H9" s="342">
        <v>66857</v>
      </c>
      <c r="I9" s="342">
        <v>26048</v>
      </c>
      <c r="J9" s="342">
        <v>110662</v>
      </c>
      <c r="K9" s="343"/>
      <c r="L9" s="343"/>
      <c r="N9" s="343"/>
      <c r="O9" s="343"/>
      <c r="P9" s="343"/>
      <c r="Q9" s="343"/>
      <c r="R9" s="343"/>
    </row>
    <row r="10" spans="1:18" x14ac:dyDescent="0.4">
      <c r="B10" s="346"/>
      <c r="D10" s="345"/>
      <c r="H10" s="345"/>
    </row>
    <row r="12" spans="1:18" x14ac:dyDescent="0.4">
      <c r="F12" s="345"/>
    </row>
    <row r="13" spans="1:18" x14ac:dyDescent="0.4">
      <c r="F13" s="345"/>
    </row>
  </sheetData>
  <mergeCells count="12">
    <mergeCell ref="E6:E7"/>
    <mergeCell ref="F6:G6"/>
    <mergeCell ref="A1:C1"/>
    <mergeCell ref="A3:J3"/>
    <mergeCell ref="A5:A7"/>
    <mergeCell ref="B5:B7"/>
    <mergeCell ref="C5:C7"/>
    <mergeCell ref="D5:D7"/>
    <mergeCell ref="E5:G5"/>
    <mergeCell ref="H5:H7"/>
    <mergeCell ref="I5:I7"/>
    <mergeCell ref="J5:J7"/>
  </mergeCells>
  <pageMargins left="0.49" right="0.41" top="0.56000000000000005" bottom="0.74803149606299213" header="0.31496062992125984" footer="0.31496062992125984"/>
  <pageSetup paperSize="9" scale="7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D12" sqref="D12"/>
    </sheetView>
  </sheetViews>
  <sheetFormatPr defaultRowHeight="13.15" x14ac:dyDescent="0.4"/>
  <cols>
    <col min="1" max="1" width="6.86328125" style="396" customWidth="1"/>
    <col min="2" max="2" width="39.796875" style="396" customWidth="1"/>
    <col min="3" max="3" width="12.73046875" style="396" customWidth="1"/>
    <col min="4" max="4" width="14.1328125" style="396" customWidth="1"/>
    <col min="5" max="5" width="11.73046875" style="396" customWidth="1"/>
    <col min="6" max="6" width="12.59765625" style="396" customWidth="1"/>
    <col min="7" max="256" width="9.06640625" style="396"/>
    <col min="257" max="257" width="6.86328125" style="396" customWidth="1"/>
    <col min="258" max="258" width="27.3984375" style="396" customWidth="1"/>
    <col min="259" max="259" width="12.73046875" style="396" customWidth="1"/>
    <col min="260" max="260" width="14.1328125" style="396" customWidth="1"/>
    <col min="261" max="261" width="11.73046875" style="396" customWidth="1"/>
    <col min="262" max="262" width="12.59765625" style="396" customWidth="1"/>
    <col min="263" max="512" width="9.06640625" style="396"/>
    <col min="513" max="513" width="6.86328125" style="396" customWidth="1"/>
    <col min="514" max="514" width="27.3984375" style="396" customWidth="1"/>
    <col min="515" max="515" width="12.73046875" style="396" customWidth="1"/>
    <col min="516" max="516" width="14.1328125" style="396" customWidth="1"/>
    <col min="517" max="517" width="11.73046875" style="396" customWidth="1"/>
    <col min="518" max="518" width="12.59765625" style="396" customWidth="1"/>
    <col min="519" max="768" width="9.06640625" style="396"/>
    <col min="769" max="769" width="6.86328125" style="396" customWidth="1"/>
    <col min="770" max="770" width="27.3984375" style="396" customWidth="1"/>
    <col min="771" max="771" width="12.73046875" style="396" customWidth="1"/>
    <col min="772" max="772" width="14.1328125" style="396" customWidth="1"/>
    <col min="773" max="773" width="11.73046875" style="396" customWidth="1"/>
    <col min="774" max="774" width="12.59765625" style="396" customWidth="1"/>
    <col min="775" max="1024" width="9.06640625" style="396"/>
    <col min="1025" max="1025" width="6.86328125" style="396" customWidth="1"/>
    <col min="1026" max="1026" width="27.3984375" style="396" customWidth="1"/>
    <col min="1027" max="1027" width="12.73046875" style="396" customWidth="1"/>
    <col min="1028" max="1028" width="14.1328125" style="396" customWidth="1"/>
    <col min="1029" max="1029" width="11.73046875" style="396" customWidth="1"/>
    <col min="1030" max="1030" width="12.59765625" style="396" customWidth="1"/>
    <col min="1031" max="1280" width="9.06640625" style="396"/>
    <col min="1281" max="1281" width="6.86328125" style="396" customWidth="1"/>
    <col min="1282" max="1282" width="27.3984375" style="396" customWidth="1"/>
    <col min="1283" max="1283" width="12.73046875" style="396" customWidth="1"/>
    <col min="1284" max="1284" width="14.1328125" style="396" customWidth="1"/>
    <col min="1285" max="1285" width="11.73046875" style="396" customWidth="1"/>
    <col min="1286" max="1286" width="12.59765625" style="396" customWidth="1"/>
    <col min="1287" max="1536" width="9.06640625" style="396"/>
    <col min="1537" max="1537" width="6.86328125" style="396" customWidth="1"/>
    <col min="1538" max="1538" width="27.3984375" style="396" customWidth="1"/>
    <col min="1539" max="1539" width="12.73046875" style="396" customWidth="1"/>
    <col min="1540" max="1540" width="14.1328125" style="396" customWidth="1"/>
    <col min="1541" max="1541" width="11.73046875" style="396" customWidth="1"/>
    <col min="1542" max="1542" width="12.59765625" style="396" customWidth="1"/>
    <col min="1543" max="1792" width="9.06640625" style="396"/>
    <col min="1793" max="1793" width="6.86328125" style="396" customWidth="1"/>
    <col min="1794" max="1794" width="27.3984375" style="396" customWidth="1"/>
    <col min="1795" max="1795" width="12.73046875" style="396" customWidth="1"/>
    <col min="1796" max="1796" width="14.1328125" style="396" customWidth="1"/>
    <col min="1797" max="1797" width="11.73046875" style="396" customWidth="1"/>
    <col min="1798" max="1798" width="12.59765625" style="396" customWidth="1"/>
    <col min="1799" max="2048" width="9.06640625" style="396"/>
    <col min="2049" max="2049" width="6.86328125" style="396" customWidth="1"/>
    <col min="2050" max="2050" width="27.3984375" style="396" customWidth="1"/>
    <col min="2051" max="2051" width="12.73046875" style="396" customWidth="1"/>
    <col min="2052" max="2052" width="14.1328125" style="396" customWidth="1"/>
    <col min="2053" max="2053" width="11.73046875" style="396" customWidth="1"/>
    <col min="2054" max="2054" width="12.59765625" style="396" customWidth="1"/>
    <col min="2055" max="2304" width="9.06640625" style="396"/>
    <col min="2305" max="2305" width="6.86328125" style="396" customWidth="1"/>
    <col min="2306" max="2306" width="27.3984375" style="396" customWidth="1"/>
    <col min="2307" max="2307" width="12.73046875" style="396" customWidth="1"/>
    <col min="2308" max="2308" width="14.1328125" style="396" customWidth="1"/>
    <col min="2309" max="2309" width="11.73046875" style="396" customWidth="1"/>
    <col min="2310" max="2310" width="12.59765625" style="396" customWidth="1"/>
    <col min="2311" max="2560" width="9.06640625" style="396"/>
    <col min="2561" max="2561" width="6.86328125" style="396" customWidth="1"/>
    <col min="2562" max="2562" width="27.3984375" style="396" customWidth="1"/>
    <col min="2563" max="2563" width="12.73046875" style="396" customWidth="1"/>
    <col min="2564" max="2564" width="14.1328125" style="396" customWidth="1"/>
    <col min="2565" max="2565" width="11.73046875" style="396" customWidth="1"/>
    <col min="2566" max="2566" width="12.59765625" style="396" customWidth="1"/>
    <col min="2567" max="2816" width="9.06640625" style="396"/>
    <col min="2817" max="2817" width="6.86328125" style="396" customWidth="1"/>
    <col min="2818" max="2818" width="27.3984375" style="396" customWidth="1"/>
    <col min="2819" max="2819" width="12.73046875" style="396" customWidth="1"/>
    <col min="2820" max="2820" width="14.1328125" style="396" customWidth="1"/>
    <col min="2821" max="2821" width="11.73046875" style="396" customWidth="1"/>
    <col min="2822" max="2822" width="12.59765625" style="396" customWidth="1"/>
    <col min="2823" max="3072" width="9.06640625" style="396"/>
    <col min="3073" max="3073" width="6.86328125" style="396" customWidth="1"/>
    <col min="3074" max="3074" width="27.3984375" style="396" customWidth="1"/>
    <col min="3075" max="3075" width="12.73046875" style="396" customWidth="1"/>
    <col min="3076" max="3076" width="14.1328125" style="396" customWidth="1"/>
    <col min="3077" max="3077" width="11.73046875" style="396" customWidth="1"/>
    <col min="3078" max="3078" width="12.59765625" style="396" customWidth="1"/>
    <col min="3079" max="3328" width="9.06640625" style="396"/>
    <col min="3329" max="3329" width="6.86328125" style="396" customWidth="1"/>
    <col min="3330" max="3330" width="27.3984375" style="396" customWidth="1"/>
    <col min="3331" max="3331" width="12.73046875" style="396" customWidth="1"/>
    <col min="3332" max="3332" width="14.1328125" style="396" customWidth="1"/>
    <col min="3333" max="3333" width="11.73046875" style="396" customWidth="1"/>
    <col min="3334" max="3334" width="12.59765625" style="396" customWidth="1"/>
    <col min="3335" max="3584" width="9.06640625" style="396"/>
    <col min="3585" max="3585" width="6.86328125" style="396" customWidth="1"/>
    <col min="3586" max="3586" width="27.3984375" style="396" customWidth="1"/>
    <col min="3587" max="3587" width="12.73046875" style="396" customWidth="1"/>
    <col min="3588" max="3588" width="14.1328125" style="396" customWidth="1"/>
    <col min="3589" max="3589" width="11.73046875" style="396" customWidth="1"/>
    <col min="3590" max="3590" width="12.59765625" style="396" customWidth="1"/>
    <col min="3591" max="3840" width="9.06640625" style="396"/>
    <col min="3841" max="3841" width="6.86328125" style="396" customWidth="1"/>
    <col min="3842" max="3842" width="27.3984375" style="396" customWidth="1"/>
    <col min="3843" max="3843" width="12.73046875" style="396" customWidth="1"/>
    <col min="3844" max="3844" width="14.1328125" style="396" customWidth="1"/>
    <col min="3845" max="3845" width="11.73046875" style="396" customWidth="1"/>
    <col min="3846" max="3846" width="12.59765625" style="396" customWidth="1"/>
    <col min="3847" max="4096" width="9.06640625" style="396"/>
    <col min="4097" max="4097" width="6.86328125" style="396" customWidth="1"/>
    <col min="4098" max="4098" width="27.3984375" style="396" customWidth="1"/>
    <col min="4099" max="4099" width="12.73046875" style="396" customWidth="1"/>
    <col min="4100" max="4100" width="14.1328125" style="396" customWidth="1"/>
    <col min="4101" max="4101" width="11.73046875" style="396" customWidth="1"/>
    <col min="4102" max="4102" width="12.59765625" style="396" customWidth="1"/>
    <col min="4103" max="4352" width="9.06640625" style="396"/>
    <col min="4353" max="4353" width="6.86328125" style="396" customWidth="1"/>
    <col min="4354" max="4354" width="27.3984375" style="396" customWidth="1"/>
    <col min="4355" max="4355" width="12.73046875" style="396" customWidth="1"/>
    <col min="4356" max="4356" width="14.1328125" style="396" customWidth="1"/>
    <col min="4357" max="4357" width="11.73046875" style="396" customWidth="1"/>
    <col min="4358" max="4358" width="12.59765625" style="396" customWidth="1"/>
    <col min="4359" max="4608" width="9.06640625" style="396"/>
    <col min="4609" max="4609" width="6.86328125" style="396" customWidth="1"/>
    <col min="4610" max="4610" width="27.3984375" style="396" customWidth="1"/>
    <col min="4611" max="4611" width="12.73046875" style="396" customWidth="1"/>
    <col min="4612" max="4612" width="14.1328125" style="396" customWidth="1"/>
    <col min="4613" max="4613" width="11.73046875" style="396" customWidth="1"/>
    <col min="4614" max="4614" width="12.59765625" style="396" customWidth="1"/>
    <col min="4615" max="4864" width="9.06640625" style="396"/>
    <col min="4865" max="4865" width="6.86328125" style="396" customWidth="1"/>
    <col min="4866" max="4866" width="27.3984375" style="396" customWidth="1"/>
    <col min="4867" max="4867" width="12.73046875" style="396" customWidth="1"/>
    <col min="4868" max="4868" width="14.1328125" style="396" customWidth="1"/>
    <col min="4869" max="4869" width="11.73046875" style="396" customWidth="1"/>
    <col min="4870" max="4870" width="12.59765625" style="396" customWidth="1"/>
    <col min="4871" max="5120" width="9.06640625" style="396"/>
    <col min="5121" max="5121" width="6.86328125" style="396" customWidth="1"/>
    <col min="5122" max="5122" width="27.3984375" style="396" customWidth="1"/>
    <col min="5123" max="5123" width="12.73046875" style="396" customWidth="1"/>
    <col min="5124" max="5124" width="14.1328125" style="396" customWidth="1"/>
    <col min="5125" max="5125" width="11.73046875" style="396" customWidth="1"/>
    <col min="5126" max="5126" width="12.59765625" style="396" customWidth="1"/>
    <col min="5127" max="5376" width="9.06640625" style="396"/>
    <col min="5377" max="5377" width="6.86328125" style="396" customWidth="1"/>
    <col min="5378" max="5378" width="27.3984375" style="396" customWidth="1"/>
    <col min="5379" max="5379" width="12.73046875" style="396" customWidth="1"/>
    <col min="5380" max="5380" width="14.1328125" style="396" customWidth="1"/>
    <col min="5381" max="5381" width="11.73046875" style="396" customWidth="1"/>
    <col min="5382" max="5382" width="12.59765625" style="396" customWidth="1"/>
    <col min="5383" max="5632" width="9.06640625" style="396"/>
    <col min="5633" max="5633" width="6.86328125" style="396" customWidth="1"/>
    <col min="5634" max="5634" width="27.3984375" style="396" customWidth="1"/>
    <col min="5635" max="5635" width="12.73046875" style="396" customWidth="1"/>
    <col min="5636" max="5636" width="14.1328125" style="396" customWidth="1"/>
    <col min="5637" max="5637" width="11.73046875" style="396" customWidth="1"/>
    <col min="5638" max="5638" width="12.59765625" style="396" customWidth="1"/>
    <col min="5639" max="5888" width="9.06640625" style="396"/>
    <col min="5889" max="5889" width="6.86328125" style="396" customWidth="1"/>
    <col min="5890" max="5890" width="27.3984375" style="396" customWidth="1"/>
    <col min="5891" max="5891" width="12.73046875" style="396" customWidth="1"/>
    <col min="5892" max="5892" width="14.1328125" style="396" customWidth="1"/>
    <col min="5893" max="5893" width="11.73046875" style="396" customWidth="1"/>
    <col min="5894" max="5894" width="12.59765625" style="396" customWidth="1"/>
    <col min="5895" max="6144" width="9.06640625" style="396"/>
    <col min="6145" max="6145" width="6.86328125" style="396" customWidth="1"/>
    <col min="6146" max="6146" width="27.3984375" style="396" customWidth="1"/>
    <col min="6147" max="6147" width="12.73046875" style="396" customWidth="1"/>
    <col min="6148" max="6148" width="14.1328125" style="396" customWidth="1"/>
    <col min="6149" max="6149" width="11.73046875" style="396" customWidth="1"/>
    <col min="6150" max="6150" width="12.59765625" style="396" customWidth="1"/>
    <col min="6151" max="6400" width="9.06640625" style="396"/>
    <col min="6401" max="6401" width="6.86328125" style="396" customWidth="1"/>
    <col min="6402" max="6402" width="27.3984375" style="396" customWidth="1"/>
    <col min="6403" max="6403" width="12.73046875" style="396" customWidth="1"/>
    <col min="6404" max="6404" width="14.1328125" style="396" customWidth="1"/>
    <col min="6405" max="6405" width="11.73046875" style="396" customWidth="1"/>
    <col min="6406" max="6406" width="12.59765625" style="396" customWidth="1"/>
    <col min="6407" max="6656" width="9.06640625" style="396"/>
    <col min="6657" max="6657" width="6.86328125" style="396" customWidth="1"/>
    <col min="6658" max="6658" width="27.3984375" style="396" customWidth="1"/>
    <col min="6659" max="6659" width="12.73046875" style="396" customWidth="1"/>
    <col min="6660" max="6660" width="14.1328125" style="396" customWidth="1"/>
    <col min="6661" max="6661" width="11.73046875" style="396" customWidth="1"/>
    <col min="6662" max="6662" width="12.59765625" style="396" customWidth="1"/>
    <col min="6663" max="6912" width="9.06640625" style="396"/>
    <col min="6913" max="6913" width="6.86328125" style="396" customWidth="1"/>
    <col min="6914" max="6914" width="27.3984375" style="396" customWidth="1"/>
    <col min="6915" max="6915" width="12.73046875" style="396" customWidth="1"/>
    <col min="6916" max="6916" width="14.1328125" style="396" customWidth="1"/>
    <col min="6917" max="6917" width="11.73046875" style="396" customWidth="1"/>
    <col min="6918" max="6918" width="12.59765625" style="396" customWidth="1"/>
    <col min="6919" max="7168" width="9.06640625" style="396"/>
    <col min="7169" max="7169" width="6.86328125" style="396" customWidth="1"/>
    <col min="7170" max="7170" width="27.3984375" style="396" customWidth="1"/>
    <col min="7171" max="7171" width="12.73046875" style="396" customWidth="1"/>
    <col min="7172" max="7172" width="14.1328125" style="396" customWidth="1"/>
    <col min="7173" max="7173" width="11.73046875" style="396" customWidth="1"/>
    <col min="7174" max="7174" width="12.59765625" style="396" customWidth="1"/>
    <col min="7175" max="7424" width="9.06640625" style="396"/>
    <col min="7425" max="7425" width="6.86328125" style="396" customWidth="1"/>
    <col min="7426" max="7426" width="27.3984375" style="396" customWidth="1"/>
    <col min="7427" max="7427" width="12.73046875" style="396" customWidth="1"/>
    <col min="7428" max="7428" width="14.1328125" style="396" customWidth="1"/>
    <col min="7429" max="7429" width="11.73046875" style="396" customWidth="1"/>
    <col min="7430" max="7430" width="12.59765625" style="396" customWidth="1"/>
    <col min="7431" max="7680" width="9.06640625" style="396"/>
    <col min="7681" max="7681" width="6.86328125" style="396" customWidth="1"/>
    <col min="7682" max="7682" width="27.3984375" style="396" customWidth="1"/>
    <col min="7683" max="7683" width="12.73046875" style="396" customWidth="1"/>
    <col min="7684" max="7684" width="14.1328125" style="396" customWidth="1"/>
    <col min="7685" max="7685" width="11.73046875" style="396" customWidth="1"/>
    <col min="7686" max="7686" width="12.59765625" style="396" customWidth="1"/>
    <col min="7687" max="7936" width="9.06640625" style="396"/>
    <col min="7937" max="7937" width="6.86328125" style="396" customWidth="1"/>
    <col min="7938" max="7938" width="27.3984375" style="396" customWidth="1"/>
    <col min="7939" max="7939" width="12.73046875" style="396" customWidth="1"/>
    <col min="7940" max="7940" width="14.1328125" style="396" customWidth="1"/>
    <col min="7941" max="7941" width="11.73046875" style="396" customWidth="1"/>
    <col min="7942" max="7942" width="12.59765625" style="396" customWidth="1"/>
    <col min="7943" max="8192" width="9.06640625" style="396"/>
    <col min="8193" max="8193" width="6.86328125" style="396" customWidth="1"/>
    <col min="8194" max="8194" width="27.3984375" style="396" customWidth="1"/>
    <col min="8195" max="8195" width="12.73046875" style="396" customWidth="1"/>
    <col min="8196" max="8196" width="14.1328125" style="396" customWidth="1"/>
    <col min="8197" max="8197" width="11.73046875" style="396" customWidth="1"/>
    <col min="8198" max="8198" width="12.59765625" style="396" customWidth="1"/>
    <col min="8199" max="8448" width="9.06640625" style="396"/>
    <col min="8449" max="8449" width="6.86328125" style="396" customWidth="1"/>
    <col min="8450" max="8450" width="27.3984375" style="396" customWidth="1"/>
    <col min="8451" max="8451" width="12.73046875" style="396" customWidth="1"/>
    <col min="8452" max="8452" width="14.1328125" style="396" customWidth="1"/>
    <col min="8453" max="8453" width="11.73046875" style="396" customWidth="1"/>
    <col min="8454" max="8454" width="12.59765625" style="396" customWidth="1"/>
    <col min="8455" max="8704" width="9.06640625" style="396"/>
    <col min="8705" max="8705" width="6.86328125" style="396" customWidth="1"/>
    <col min="8706" max="8706" width="27.3984375" style="396" customWidth="1"/>
    <col min="8707" max="8707" width="12.73046875" style="396" customWidth="1"/>
    <col min="8708" max="8708" width="14.1328125" style="396" customWidth="1"/>
    <col min="8709" max="8709" width="11.73046875" style="396" customWidth="1"/>
    <col min="8710" max="8710" width="12.59765625" style="396" customWidth="1"/>
    <col min="8711" max="8960" width="9.06640625" style="396"/>
    <col min="8961" max="8961" width="6.86328125" style="396" customWidth="1"/>
    <col min="8962" max="8962" width="27.3984375" style="396" customWidth="1"/>
    <col min="8963" max="8963" width="12.73046875" style="396" customWidth="1"/>
    <col min="8964" max="8964" width="14.1328125" style="396" customWidth="1"/>
    <col min="8965" max="8965" width="11.73046875" style="396" customWidth="1"/>
    <col min="8966" max="8966" width="12.59765625" style="396" customWidth="1"/>
    <col min="8967" max="9216" width="9.06640625" style="396"/>
    <col min="9217" max="9217" width="6.86328125" style="396" customWidth="1"/>
    <col min="9218" max="9218" width="27.3984375" style="396" customWidth="1"/>
    <col min="9219" max="9219" width="12.73046875" style="396" customWidth="1"/>
    <col min="9220" max="9220" width="14.1328125" style="396" customWidth="1"/>
    <col min="9221" max="9221" width="11.73046875" style="396" customWidth="1"/>
    <col min="9222" max="9222" width="12.59765625" style="396" customWidth="1"/>
    <col min="9223" max="9472" width="9.06640625" style="396"/>
    <col min="9473" max="9473" width="6.86328125" style="396" customWidth="1"/>
    <col min="9474" max="9474" width="27.3984375" style="396" customWidth="1"/>
    <col min="9475" max="9475" width="12.73046875" style="396" customWidth="1"/>
    <col min="9476" max="9476" width="14.1328125" style="396" customWidth="1"/>
    <col min="9477" max="9477" width="11.73046875" style="396" customWidth="1"/>
    <col min="9478" max="9478" width="12.59765625" style="396" customWidth="1"/>
    <col min="9479" max="9728" width="9.06640625" style="396"/>
    <col min="9729" max="9729" width="6.86328125" style="396" customWidth="1"/>
    <col min="9730" max="9730" width="27.3984375" style="396" customWidth="1"/>
    <col min="9731" max="9731" width="12.73046875" style="396" customWidth="1"/>
    <col min="9732" max="9732" width="14.1328125" style="396" customWidth="1"/>
    <col min="9733" max="9733" width="11.73046875" style="396" customWidth="1"/>
    <col min="9734" max="9734" width="12.59765625" style="396" customWidth="1"/>
    <col min="9735" max="9984" width="9.06640625" style="396"/>
    <col min="9985" max="9985" width="6.86328125" style="396" customWidth="1"/>
    <col min="9986" max="9986" width="27.3984375" style="396" customWidth="1"/>
    <col min="9987" max="9987" width="12.73046875" style="396" customWidth="1"/>
    <col min="9988" max="9988" width="14.1328125" style="396" customWidth="1"/>
    <col min="9989" max="9989" width="11.73046875" style="396" customWidth="1"/>
    <col min="9990" max="9990" width="12.59765625" style="396" customWidth="1"/>
    <col min="9991" max="10240" width="9.06640625" style="396"/>
    <col min="10241" max="10241" width="6.86328125" style="396" customWidth="1"/>
    <col min="10242" max="10242" width="27.3984375" style="396" customWidth="1"/>
    <col min="10243" max="10243" width="12.73046875" style="396" customWidth="1"/>
    <col min="10244" max="10244" width="14.1328125" style="396" customWidth="1"/>
    <col min="10245" max="10245" width="11.73046875" style="396" customWidth="1"/>
    <col min="10246" max="10246" width="12.59765625" style="396" customWidth="1"/>
    <col min="10247" max="10496" width="9.06640625" style="396"/>
    <col min="10497" max="10497" width="6.86328125" style="396" customWidth="1"/>
    <col min="10498" max="10498" width="27.3984375" style="396" customWidth="1"/>
    <col min="10499" max="10499" width="12.73046875" style="396" customWidth="1"/>
    <col min="10500" max="10500" width="14.1328125" style="396" customWidth="1"/>
    <col min="10501" max="10501" width="11.73046875" style="396" customWidth="1"/>
    <col min="10502" max="10502" width="12.59765625" style="396" customWidth="1"/>
    <col min="10503" max="10752" width="9.06640625" style="396"/>
    <col min="10753" max="10753" width="6.86328125" style="396" customWidth="1"/>
    <col min="10754" max="10754" width="27.3984375" style="396" customWidth="1"/>
    <col min="10755" max="10755" width="12.73046875" style="396" customWidth="1"/>
    <col min="10756" max="10756" width="14.1328125" style="396" customWidth="1"/>
    <col min="10757" max="10757" width="11.73046875" style="396" customWidth="1"/>
    <col min="10758" max="10758" width="12.59765625" style="396" customWidth="1"/>
    <col min="10759" max="11008" width="9.06640625" style="396"/>
    <col min="11009" max="11009" width="6.86328125" style="396" customWidth="1"/>
    <col min="11010" max="11010" width="27.3984375" style="396" customWidth="1"/>
    <col min="11011" max="11011" width="12.73046875" style="396" customWidth="1"/>
    <col min="11012" max="11012" width="14.1328125" style="396" customWidth="1"/>
    <col min="11013" max="11013" width="11.73046875" style="396" customWidth="1"/>
    <col min="11014" max="11014" width="12.59765625" style="396" customWidth="1"/>
    <col min="11015" max="11264" width="9.06640625" style="396"/>
    <col min="11265" max="11265" width="6.86328125" style="396" customWidth="1"/>
    <col min="11266" max="11266" width="27.3984375" style="396" customWidth="1"/>
    <col min="11267" max="11267" width="12.73046875" style="396" customWidth="1"/>
    <col min="11268" max="11268" width="14.1328125" style="396" customWidth="1"/>
    <col min="11269" max="11269" width="11.73046875" style="396" customWidth="1"/>
    <col min="11270" max="11270" width="12.59765625" style="396" customWidth="1"/>
    <col min="11271" max="11520" width="9.06640625" style="396"/>
    <col min="11521" max="11521" width="6.86328125" style="396" customWidth="1"/>
    <col min="11522" max="11522" width="27.3984375" style="396" customWidth="1"/>
    <col min="11523" max="11523" width="12.73046875" style="396" customWidth="1"/>
    <col min="11524" max="11524" width="14.1328125" style="396" customWidth="1"/>
    <col min="11525" max="11525" width="11.73046875" style="396" customWidth="1"/>
    <col min="11526" max="11526" width="12.59765625" style="396" customWidth="1"/>
    <col min="11527" max="11776" width="9.06640625" style="396"/>
    <col min="11777" max="11777" width="6.86328125" style="396" customWidth="1"/>
    <col min="11778" max="11778" width="27.3984375" style="396" customWidth="1"/>
    <col min="11779" max="11779" width="12.73046875" style="396" customWidth="1"/>
    <col min="11780" max="11780" width="14.1328125" style="396" customWidth="1"/>
    <col min="11781" max="11781" width="11.73046875" style="396" customWidth="1"/>
    <col min="11782" max="11782" width="12.59765625" style="396" customWidth="1"/>
    <col min="11783" max="12032" width="9.06640625" style="396"/>
    <col min="12033" max="12033" width="6.86328125" style="396" customWidth="1"/>
    <col min="12034" max="12034" width="27.3984375" style="396" customWidth="1"/>
    <col min="12035" max="12035" width="12.73046875" style="396" customWidth="1"/>
    <col min="12036" max="12036" width="14.1328125" style="396" customWidth="1"/>
    <col min="12037" max="12037" width="11.73046875" style="396" customWidth="1"/>
    <col min="12038" max="12038" width="12.59765625" style="396" customWidth="1"/>
    <col min="12039" max="12288" width="9.06640625" style="396"/>
    <col min="12289" max="12289" width="6.86328125" style="396" customWidth="1"/>
    <col min="12290" max="12290" width="27.3984375" style="396" customWidth="1"/>
    <col min="12291" max="12291" width="12.73046875" style="396" customWidth="1"/>
    <col min="12292" max="12292" width="14.1328125" style="396" customWidth="1"/>
    <col min="12293" max="12293" width="11.73046875" style="396" customWidth="1"/>
    <col min="12294" max="12294" width="12.59765625" style="396" customWidth="1"/>
    <col min="12295" max="12544" width="9.06640625" style="396"/>
    <col min="12545" max="12545" width="6.86328125" style="396" customWidth="1"/>
    <col min="12546" max="12546" width="27.3984375" style="396" customWidth="1"/>
    <col min="12547" max="12547" width="12.73046875" style="396" customWidth="1"/>
    <col min="12548" max="12548" width="14.1328125" style="396" customWidth="1"/>
    <col min="12549" max="12549" width="11.73046875" style="396" customWidth="1"/>
    <col min="12550" max="12550" width="12.59765625" style="396" customWidth="1"/>
    <col min="12551" max="12800" width="9.06640625" style="396"/>
    <col min="12801" max="12801" width="6.86328125" style="396" customWidth="1"/>
    <col min="12802" max="12802" width="27.3984375" style="396" customWidth="1"/>
    <col min="12803" max="12803" width="12.73046875" style="396" customWidth="1"/>
    <col min="12804" max="12804" width="14.1328125" style="396" customWidth="1"/>
    <col min="12805" max="12805" width="11.73046875" style="396" customWidth="1"/>
    <col min="12806" max="12806" width="12.59765625" style="396" customWidth="1"/>
    <col min="12807" max="13056" width="9.06640625" style="396"/>
    <col min="13057" max="13057" width="6.86328125" style="396" customWidth="1"/>
    <col min="13058" max="13058" width="27.3984375" style="396" customWidth="1"/>
    <col min="13059" max="13059" width="12.73046875" style="396" customWidth="1"/>
    <col min="13060" max="13060" width="14.1328125" style="396" customWidth="1"/>
    <col min="13061" max="13061" width="11.73046875" style="396" customWidth="1"/>
    <col min="13062" max="13062" width="12.59765625" style="396" customWidth="1"/>
    <col min="13063" max="13312" width="9.06640625" style="396"/>
    <col min="13313" max="13313" width="6.86328125" style="396" customWidth="1"/>
    <col min="13314" max="13314" width="27.3984375" style="396" customWidth="1"/>
    <col min="13315" max="13315" width="12.73046875" style="396" customWidth="1"/>
    <col min="13316" max="13316" width="14.1328125" style="396" customWidth="1"/>
    <col min="13317" max="13317" width="11.73046875" style="396" customWidth="1"/>
    <col min="13318" max="13318" width="12.59765625" style="396" customWidth="1"/>
    <col min="13319" max="13568" width="9.06640625" style="396"/>
    <col min="13569" max="13569" width="6.86328125" style="396" customWidth="1"/>
    <col min="13570" max="13570" width="27.3984375" style="396" customWidth="1"/>
    <col min="13571" max="13571" width="12.73046875" style="396" customWidth="1"/>
    <col min="13572" max="13572" width="14.1328125" style="396" customWidth="1"/>
    <col min="13573" max="13573" width="11.73046875" style="396" customWidth="1"/>
    <col min="13574" max="13574" width="12.59765625" style="396" customWidth="1"/>
    <col min="13575" max="13824" width="9.06640625" style="396"/>
    <col min="13825" max="13825" width="6.86328125" style="396" customWidth="1"/>
    <col min="13826" max="13826" width="27.3984375" style="396" customWidth="1"/>
    <col min="13827" max="13827" width="12.73046875" style="396" customWidth="1"/>
    <col min="13828" max="13828" width="14.1328125" style="396" customWidth="1"/>
    <col min="13829" max="13829" width="11.73046875" style="396" customWidth="1"/>
    <col min="13830" max="13830" width="12.59765625" style="396" customWidth="1"/>
    <col min="13831" max="14080" width="9.06640625" style="396"/>
    <col min="14081" max="14081" width="6.86328125" style="396" customWidth="1"/>
    <col min="14082" max="14082" width="27.3984375" style="396" customWidth="1"/>
    <col min="14083" max="14083" width="12.73046875" style="396" customWidth="1"/>
    <col min="14084" max="14084" width="14.1328125" style="396" customWidth="1"/>
    <col min="14085" max="14085" width="11.73046875" style="396" customWidth="1"/>
    <col min="14086" max="14086" width="12.59765625" style="396" customWidth="1"/>
    <col min="14087" max="14336" width="9.06640625" style="396"/>
    <col min="14337" max="14337" width="6.86328125" style="396" customWidth="1"/>
    <col min="14338" max="14338" width="27.3984375" style="396" customWidth="1"/>
    <col min="14339" max="14339" width="12.73046875" style="396" customWidth="1"/>
    <col min="14340" max="14340" width="14.1328125" style="396" customWidth="1"/>
    <col min="14341" max="14341" width="11.73046875" style="396" customWidth="1"/>
    <col min="14342" max="14342" width="12.59765625" style="396" customWidth="1"/>
    <col min="14343" max="14592" width="9.06640625" style="396"/>
    <col min="14593" max="14593" width="6.86328125" style="396" customWidth="1"/>
    <col min="14594" max="14594" width="27.3984375" style="396" customWidth="1"/>
    <col min="14595" max="14595" width="12.73046875" style="396" customWidth="1"/>
    <col min="14596" max="14596" width="14.1328125" style="396" customWidth="1"/>
    <col min="14597" max="14597" width="11.73046875" style="396" customWidth="1"/>
    <col min="14598" max="14598" width="12.59765625" style="396" customWidth="1"/>
    <col min="14599" max="14848" width="9.06640625" style="396"/>
    <col min="14849" max="14849" width="6.86328125" style="396" customWidth="1"/>
    <col min="14850" max="14850" width="27.3984375" style="396" customWidth="1"/>
    <col min="14851" max="14851" width="12.73046875" style="396" customWidth="1"/>
    <col min="14852" max="14852" width="14.1328125" style="396" customWidth="1"/>
    <col min="14853" max="14853" width="11.73046875" style="396" customWidth="1"/>
    <col min="14854" max="14854" width="12.59765625" style="396" customWidth="1"/>
    <col min="14855" max="15104" width="9.06640625" style="396"/>
    <col min="15105" max="15105" width="6.86328125" style="396" customWidth="1"/>
    <col min="15106" max="15106" width="27.3984375" style="396" customWidth="1"/>
    <col min="15107" max="15107" width="12.73046875" style="396" customWidth="1"/>
    <col min="15108" max="15108" width="14.1328125" style="396" customWidth="1"/>
    <col min="15109" max="15109" width="11.73046875" style="396" customWidth="1"/>
    <col min="15110" max="15110" width="12.59765625" style="396" customWidth="1"/>
    <col min="15111" max="15360" width="9.06640625" style="396"/>
    <col min="15361" max="15361" width="6.86328125" style="396" customWidth="1"/>
    <col min="15362" max="15362" width="27.3984375" style="396" customWidth="1"/>
    <col min="15363" max="15363" width="12.73046875" style="396" customWidth="1"/>
    <col min="15364" max="15364" width="14.1328125" style="396" customWidth="1"/>
    <col min="15365" max="15365" width="11.73046875" style="396" customWidth="1"/>
    <col min="15366" max="15366" width="12.59765625" style="396" customWidth="1"/>
    <col min="15367" max="15616" width="9.06640625" style="396"/>
    <col min="15617" max="15617" width="6.86328125" style="396" customWidth="1"/>
    <col min="15618" max="15618" width="27.3984375" style="396" customWidth="1"/>
    <col min="15619" max="15619" width="12.73046875" style="396" customWidth="1"/>
    <col min="15620" max="15620" width="14.1328125" style="396" customWidth="1"/>
    <col min="15621" max="15621" width="11.73046875" style="396" customWidth="1"/>
    <col min="15622" max="15622" width="12.59765625" style="396" customWidth="1"/>
    <col min="15623" max="15872" width="9.06640625" style="396"/>
    <col min="15873" max="15873" width="6.86328125" style="396" customWidth="1"/>
    <col min="15874" max="15874" width="27.3984375" style="396" customWidth="1"/>
    <col min="15875" max="15875" width="12.73046875" style="396" customWidth="1"/>
    <col min="15876" max="15876" width="14.1328125" style="396" customWidth="1"/>
    <col min="15877" max="15877" width="11.73046875" style="396" customWidth="1"/>
    <col min="15878" max="15878" width="12.59765625" style="396" customWidth="1"/>
    <col min="15879" max="16128" width="9.06640625" style="396"/>
    <col min="16129" max="16129" width="6.86328125" style="396" customWidth="1"/>
    <col min="16130" max="16130" width="27.3984375" style="396" customWidth="1"/>
    <col min="16131" max="16131" width="12.73046875" style="396" customWidth="1"/>
    <col min="16132" max="16132" width="14.1328125" style="396" customWidth="1"/>
    <col min="16133" max="16133" width="11.73046875" style="396" customWidth="1"/>
    <col min="16134" max="16134" width="12.59765625" style="396" customWidth="1"/>
    <col min="16135" max="16384" width="9.06640625" style="396"/>
  </cols>
  <sheetData>
    <row r="1" spans="1:8" x14ac:dyDescent="0.4">
      <c r="A1" s="453" t="s">
        <v>60</v>
      </c>
      <c r="B1" s="453"/>
      <c r="C1" s="453"/>
      <c r="D1" s="347"/>
      <c r="E1" s="347"/>
      <c r="F1" s="414" t="s">
        <v>301</v>
      </c>
    </row>
    <row r="2" spans="1:8" ht="66.75" customHeight="1" x14ac:dyDescent="0.4">
      <c r="A2" s="488" t="s">
        <v>117</v>
      </c>
      <c r="B2" s="488"/>
      <c r="C2" s="488"/>
      <c r="D2" s="488"/>
      <c r="E2" s="488"/>
      <c r="F2" s="488"/>
    </row>
    <row r="3" spans="1:8" x14ac:dyDescent="0.4">
      <c r="A3" s="347"/>
      <c r="B3" s="347"/>
      <c r="C3" s="347"/>
      <c r="D3" s="347"/>
      <c r="E3" s="347"/>
      <c r="F3" s="348" t="s">
        <v>61</v>
      </c>
    </row>
    <row r="4" spans="1:8" ht="132" customHeight="1" x14ac:dyDescent="0.4">
      <c r="A4" s="349" t="s">
        <v>64</v>
      </c>
      <c r="B4" s="349" t="s">
        <v>118</v>
      </c>
      <c r="C4" s="349" t="s">
        <v>101</v>
      </c>
      <c r="D4" s="349" t="s">
        <v>90</v>
      </c>
      <c r="E4" s="349" t="s">
        <v>102</v>
      </c>
      <c r="F4" s="349" t="s">
        <v>92</v>
      </c>
    </row>
    <row r="5" spans="1:8" s="397" customFormat="1" x14ac:dyDescent="0.4">
      <c r="A5" s="373" t="s">
        <v>35</v>
      </c>
      <c r="B5" s="373" t="s">
        <v>36</v>
      </c>
      <c r="C5" s="373" t="s">
        <v>103</v>
      </c>
      <c r="D5" s="373">
        <v>2</v>
      </c>
      <c r="E5" s="373">
        <v>3</v>
      </c>
      <c r="F5" s="373">
        <v>4</v>
      </c>
    </row>
    <row r="6" spans="1:8" s="398" customFormat="1" x14ac:dyDescent="0.4">
      <c r="A6" s="350"/>
      <c r="B6" s="350" t="s">
        <v>74</v>
      </c>
      <c r="C6" s="351">
        <f>SUM(C7:C20)</f>
        <v>7468</v>
      </c>
      <c r="D6" s="351">
        <f t="shared" ref="D6:F6" si="0">SUM(D7:D20)</f>
        <v>0</v>
      </c>
      <c r="E6" s="351">
        <f t="shared" si="0"/>
        <v>7468</v>
      </c>
      <c r="F6" s="352">
        <f t="shared" si="0"/>
        <v>0</v>
      </c>
    </row>
    <row r="7" spans="1:8" ht="26.25" x14ac:dyDescent="0.4">
      <c r="A7" s="353">
        <v>1</v>
      </c>
      <c r="B7" s="156" t="s">
        <v>104</v>
      </c>
      <c r="C7" s="354">
        <f>SUM(D7:F7)</f>
        <v>166</v>
      </c>
      <c r="D7" s="354"/>
      <c r="E7" s="354">
        <v>166</v>
      </c>
      <c r="F7" s="355"/>
      <c r="H7" s="399"/>
    </row>
    <row r="8" spans="1:8" ht="52.5" x14ac:dyDescent="0.4">
      <c r="A8" s="353">
        <v>2</v>
      </c>
      <c r="B8" s="156" t="s">
        <v>105</v>
      </c>
      <c r="C8" s="354">
        <f t="shared" ref="C8:C20" si="1">SUM(D8:F8)</f>
        <v>3393</v>
      </c>
      <c r="D8" s="354"/>
      <c r="E8" s="354">
        <v>3393</v>
      </c>
      <c r="F8" s="355"/>
    </row>
    <row r="9" spans="1:8" ht="39.4" x14ac:dyDescent="0.4">
      <c r="A9" s="353">
        <v>3</v>
      </c>
      <c r="B9" s="156" t="s">
        <v>106</v>
      </c>
      <c r="C9" s="354">
        <f t="shared" si="1"/>
        <v>908</v>
      </c>
      <c r="D9" s="354"/>
      <c r="E9" s="354">
        <v>908</v>
      </c>
      <c r="F9" s="355"/>
    </row>
    <row r="10" spans="1:8" ht="26.25" x14ac:dyDescent="0.4">
      <c r="A10" s="353">
        <v>4</v>
      </c>
      <c r="B10" s="156" t="s">
        <v>157</v>
      </c>
      <c r="C10" s="354">
        <f t="shared" si="1"/>
        <v>60</v>
      </c>
      <c r="D10" s="354"/>
      <c r="E10" s="354">
        <v>60</v>
      </c>
      <c r="F10" s="355"/>
    </row>
    <row r="11" spans="1:8" ht="52.9" customHeight="1" x14ac:dyDescent="0.4">
      <c r="A11" s="353">
        <v>5</v>
      </c>
      <c r="B11" s="156" t="s">
        <v>107</v>
      </c>
      <c r="C11" s="354">
        <f t="shared" si="1"/>
        <v>58</v>
      </c>
      <c r="D11" s="354"/>
      <c r="E11" s="354">
        <v>58</v>
      </c>
      <c r="F11" s="355"/>
    </row>
    <row r="12" spans="1:8" ht="26.25" x14ac:dyDescent="0.4">
      <c r="A12" s="353">
        <v>6</v>
      </c>
      <c r="B12" s="156" t="s">
        <v>108</v>
      </c>
      <c r="C12" s="354">
        <v>10</v>
      </c>
      <c r="D12" s="354"/>
      <c r="E12" s="354">
        <v>10</v>
      </c>
      <c r="F12" s="355"/>
    </row>
    <row r="13" spans="1:8" ht="26.25" x14ac:dyDescent="0.4">
      <c r="A13" s="353">
        <v>7</v>
      </c>
      <c r="B13" s="156" t="s">
        <v>109</v>
      </c>
      <c r="C13" s="354">
        <f t="shared" si="1"/>
        <v>20</v>
      </c>
      <c r="D13" s="354"/>
      <c r="E13" s="354">
        <v>20</v>
      </c>
      <c r="F13" s="355"/>
    </row>
    <row r="14" spans="1:8" x14ac:dyDescent="0.4">
      <c r="A14" s="353">
        <v>8</v>
      </c>
      <c r="B14" s="156" t="s">
        <v>110</v>
      </c>
      <c r="C14" s="354">
        <f t="shared" si="1"/>
        <v>235</v>
      </c>
      <c r="D14" s="354"/>
      <c r="E14" s="354">
        <v>235</v>
      </c>
      <c r="F14" s="355"/>
    </row>
    <row r="15" spans="1:8" x14ac:dyDescent="0.4">
      <c r="A15" s="353">
        <v>9</v>
      </c>
      <c r="B15" s="156" t="s">
        <v>111</v>
      </c>
      <c r="C15" s="354">
        <f t="shared" si="1"/>
        <v>234</v>
      </c>
      <c r="D15" s="354"/>
      <c r="E15" s="354">
        <v>234</v>
      </c>
      <c r="F15" s="355"/>
    </row>
    <row r="16" spans="1:8" ht="39.4" x14ac:dyDescent="0.4">
      <c r="A16" s="353">
        <v>10</v>
      </c>
      <c r="B16" s="156" t="s">
        <v>112</v>
      </c>
      <c r="C16" s="354">
        <f t="shared" si="1"/>
        <v>50</v>
      </c>
      <c r="D16" s="354"/>
      <c r="E16" s="354">
        <v>50</v>
      </c>
      <c r="F16" s="355"/>
    </row>
    <row r="17" spans="1:6" x14ac:dyDescent="0.4">
      <c r="A17" s="353">
        <v>11</v>
      </c>
      <c r="B17" s="156" t="s">
        <v>113</v>
      </c>
      <c r="C17" s="354">
        <f t="shared" si="1"/>
        <v>100</v>
      </c>
      <c r="D17" s="354"/>
      <c r="E17" s="354">
        <v>100</v>
      </c>
      <c r="F17" s="355"/>
    </row>
    <row r="18" spans="1:6" x14ac:dyDescent="0.4">
      <c r="A18" s="353">
        <v>12</v>
      </c>
      <c r="B18" s="156" t="s">
        <v>114</v>
      </c>
      <c r="C18" s="354">
        <f t="shared" si="1"/>
        <v>50</v>
      </c>
      <c r="D18" s="354"/>
      <c r="E18" s="354">
        <v>50</v>
      </c>
      <c r="F18" s="355"/>
    </row>
    <row r="19" spans="1:6" x14ac:dyDescent="0.4">
      <c r="A19" s="353">
        <v>13</v>
      </c>
      <c r="B19" s="156" t="s">
        <v>115</v>
      </c>
      <c r="C19" s="354">
        <f t="shared" si="1"/>
        <v>90</v>
      </c>
      <c r="D19" s="354"/>
      <c r="E19" s="354">
        <v>90</v>
      </c>
      <c r="F19" s="355"/>
    </row>
    <row r="20" spans="1:6" ht="26.25" x14ac:dyDescent="0.4">
      <c r="A20" s="356">
        <v>14</v>
      </c>
      <c r="B20" s="357" t="s">
        <v>116</v>
      </c>
      <c r="C20" s="358">
        <f t="shared" si="1"/>
        <v>2094</v>
      </c>
      <c r="D20" s="358"/>
      <c r="E20" s="358">
        <v>2094</v>
      </c>
      <c r="F20" s="359"/>
    </row>
  </sheetData>
  <mergeCells count="2">
    <mergeCell ref="A1:C1"/>
    <mergeCell ref="A2:F2"/>
  </mergeCells>
  <pageMargins left="0.70866141732283472" right="0.35433070866141736" top="0.47244094488188981" bottom="0.47244094488188981" header="0.31496062992125984" footer="0.31496062992125984"/>
  <pageSetup paperSize="9" scale="9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28" workbookViewId="0">
      <selection activeCell="G63" sqref="G63"/>
    </sheetView>
  </sheetViews>
  <sheetFormatPr defaultColWidth="11.265625" defaultRowHeight="13.15" x14ac:dyDescent="0.4"/>
  <cols>
    <col min="1" max="1" width="5.59765625" style="272" customWidth="1"/>
    <col min="2" max="2" width="56.3984375" style="224" customWidth="1"/>
    <col min="3" max="5" width="14.1328125" style="224" customWidth="1"/>
    <col min="6" max="6" width="11.265625" style="224"/>
    <col min="7" max="8" width="12.9296875" style="224" bestFit="1" customWidth="1"/>
    <col min="9" max="16384" width="11.265625" style="224"/>
  </cols>
  <sheetData>
    <row r="1" spans="1:7" ht="16.5" customHeight="1" x14ac:dyDescent="0.4">
      <c r="A1" s="489" t="s">
        <v>60</v>
      </c>
      <c r="B1" s="489"/>
      <c r="C1" s="489"/>
      <c r="D1" s="489"/>
      <c r="E1" s="223" t="s">
        <v>302</v>
      </c>
    </row>
    <row r="2" spans="1:7" ht="16.5" customHeight="1" x14ac:dyDescent="0.4">
      <c r="A2" s="225"/>
      <c r="B2" s="225"/>
      <c r="C2" s="225"/>
      <c r="D2" s="225"/>
      <c r="E2" s="226"/>
    </row>
    <row r="3" spans="1:7" ht="27" customHeight="1" x14ac:dyDescent="0.4">
      <c r="A3" s="490" t="s">
        <v>299</v>
      </c>
      <c r="B3" s="490"/>
      <c r="C3" s="490"/>
      <c r="D3" s="490"/>
      <c r="E3" s="490"/>
    </row>
    <row r="4" spans="1:7" ht="21" customHeight="1" x14ac:dyDescent="0.4">
      <c r="A4" s="227"/>
      <c r="B4" s="228"/>
      <c r="C4" s="228"/>
      <c r="D4" s="228"/>
      <c r="E4" s="229" t="s">
        <v>61</v>
      </c>
    </row>
    <row r="5" spans="1:7" ht="43.8" customHeight="1" x14ac:dyDescent="0.4">
      <c r="A5" s="230" t="s">
        <v>158</v>
      </c>
      <c r="B5" s="231" t="s">
        <v>118</v>
      </c>
      <c r="C5" s="231" t="s">
        <v>308</v>
      </c>
      <c r="D5" s="231" t="s">
        <v>159</v>
      </c>
      <c r="E5" s="232" t="s">
        <v>160</v>
      </c>
    </row>
    <row r="6" spans="1:7" s="237" customFormat="1" ht="24" customHeight="1" x14ac:dyDescent="0.4">
      <c r="A6" s="233"/>
      <c r="B6" s="234" t="s">
        <v>161</v>
      </c>
      <c r="C6" s="235">
        <f>C7+C29</f>
        <v>118130</v>
      </c>
      <c r="D6" s="235">
        <f>D7+D29</f>
        <v>118130</v>
      </c>
      <c r="E6" s="236"/>
      <c r="G6" s="238"/>
    </row>
    <row r="7" spans="1:7" s="237" customFormat="1" x14ac:dyDescent="0.4">
      <c r="A7" s="239" t="s">
        <v>35</v>
      </c>
      <c r="B7" s="240" t="s">
        <v>162</v>
      </c>
      <c r="C7" s="241">
        <f>C8+C11+C28</f>
        <v>110662</v>
      </c>
      <c r="D7" s="241">
        <f>D8+D11+D28</f>
        <v>110662</v>
      </c>
      <c r="E7" s="242"/>
    </row>
    <row r="8" spans="1:7" s="237" customFormat="1" x14ac:dyDescent="0.4">
      <c r="A8" s="239" t="s">
        <v>163</v>
      </c>
      <c r="B8" s="240" t="s">
        <v>164</v>
      </c>
      <c r="C8" s="241">
        <f>C9+C10</f>
        <v>3170</v>
      </c>
      <c r="D8" s="241">
        <f>D9+D10</f>
        <v>3170</v>
      </c>
      <c r="E8" s="242"/>
    </row>
    <row r="9" spans="1:7" s="237" customFormat="1" ht="42.85" customHeight="1" x14ac:dyDescent="0.4">
      <c r="A9" s="243">
        <v>1</v>
      </c>
      <c r="B9" s="244" t="s">
        <v>165</v>
      </c>
      <c r="C9" s="202">
        <v>3000</v>
      </c>
      <c r="D9" s="202">
        <v>3000</v>
      </c>
      <c r="E9" s="491" t="s">
        <v>331</v>
      </c>
    </row>
    <row r="10" spans="1:7" s="245" customFormat="1" ht="42.85" customHeight="1" x14ac:dyDescent="0.45">
      <c r="A10" s="243">
        <v>2</v>
      </c>
      <c r="B10" s="244" t="s">
        <v>300</v>
      </c>
      <c r="C10" s="202">
        <v>170</v>
      </c>
      <c r="D10" s="202">
        <v>170</v>
      </c>
      <c r="E10" s="492"/>
    </row>
    <row r="11" spans="1:7" s="237" customFormat="1" ht="16.25" customHeight="1" x14ac:dyDescent="0.4">
      <c r="A11" s="239" t="s">
        <v>166</v>
      </c>
      <c r="B11" s="240" t="s">
        <v>87</v>
      </c>
      <c r="C11" s="241">
        <f>C12+C15</f>
        <v>105279</v>
      </c>
      <c r="D11" s="241">
        <f>D12+D15</f>
        <v>105279</v>
      </c>
      <c r="E11" s="242"/>
    </row>
    <row r="12" spans="1:7" s="237" customFormat="1" ht="16.25" customHeight="1" x14ac:dyDescent="0.4">
      <c r="A12" s="239" t="s">
        <v>167</v>
      </c>
      <c r="B12" s="240" t="s">
        <v>168</v>
      </c>
      <c r="C12" s="241">
        <v>70478</v>
      </c>
      <c r="D12" s="241">
        <f>D13+D14</f>
        <v>70478</v>
      </c>
      <c r="E12" s="242"/>
    </row>
    <row r="13" spans="1:7" s="237" customFormat="1" ht="16.25" customHeight="1" x14ac:dyDescent="0.4">
      <c r="A13" s="246">
        <v>1</v>
      </c>
      <c r="B13" s="247" t="s">
        <v>169</v>
      </c>
      <c r="C13" s="202"/>
      <c r="D13" s="202">
        <f>'B7'!D127</f>
        <v>69761.338999999993</v>
      </c>
      <c r="E13" s="248"/>
    </row>
    <row r="14" spans="1:7" s="237" customFormat="1" ht="16.25" customHeight="1" x14ac:dyDescent="0.4">
      <c r="A14" s="246">
        <v>2</v>
      </c>
      <c r="B14" s="247" t="s">
        <v>170</v>
      </c>
      <c r="C14" s="202"/>
      <c r="D14" s="202">
        <f>'B7'!D166</f>
        <v>716.66100000000006</v>
      </c>
      <c r="E14" s="248"/>
    </row>
    <row r="15" spans="1:7" s="237" customFormat="1" ht="16.25" customHeight="1" x14ac:dyDescent="0.4">
      <c r="A15" s="239" t="s">
        <v>171</v>
      </c>
      <c r="B15" s="240" t="s">
        <v>172</v>
      </c>
      <c r="C15" s="241">
        <v>34801</v>
      </c>
      <c r="D15" s="241">
        <f>SUM(D16:D27)</f>
        <v>34801</v>
      </c>
      <c r="E15" s="242"/>
    </row>
    <row r="16" spans="1:7" s="237" customFormat="1" ht="16.25" customHeight="1" x14ac:dyDescent="0.4">
      <c r="A16" s="243">
        <v>1</v>
      </c>
      <c r="B16" s="247" t="s">
        <v>173</v>
      </c>
      <c r="C16" s="202"/>
      <c r="D16" s="202">
        <f>'B7'!D9</f>
        <v>24070.737000000005</v>
      </c>
      <c r="E16" s="248"/>
    </row>
    <row r="17" spans="1:5" s="237" customFormat="1" ht="16.25" customHeight="1" x14ac:dyDescent="0.4">
      <c r="A17" s="243">
        <v>2</v>
      </c>
      <c r="B17" s="247" t="s">
        <v>174</v>
      </c>
      <c r="C17" s="202"/>
      <c r="D17" s="202">
        <f>'B7'!D173</f>
        <v>210</v>
      </c>
      <c r="E17" s="248"/>
    </row>
    <row r="18" spans="1:5" s="237" customFormat="1" ht="16.25" customHeight="1" x14ac:dyDescent="0.4">
      <c r="A18" s="243">
        <v>3</v>
      </c>
      <c r="B18" s="247" t="s">
        <v>175</v>
      </c>
      <c r="C18" s="202"/>
      <c r="D18" s="202">
        <f>'B7'!D190</f>
        <v>10</v>
      </c>
      <c r="E18" s="248"/>
    </row>
    <row r="19" spans="1:5" s="237" customFormat="1" ht="16.25" customHeight="1" x14ac:dyDescent="0.4">
      <c r="A19" s="243">
        <v>4</v>
      </c>
      <c r="B19" s="247" t="s">
        <v>176</v>
      </c>
      <c r="C19" s="202"/>
      <c r="D19" s="202">
        <f>'B7'!D180</f>
        <v>50</v>
      </c>
      <c r="E19" s="248"/>
    </row>
    <row r="20" spans="1:5" s="237" customFormat="1" ht="16.25" customHeight="1" x14ac:dyDescent="0.4">
      <c r="A20" s="243">
        <v>5</v>
      </c>
      <c r="B20" s="247" t="s">
        <v>177</v>
      </c>
      <c r="C20" s="202"/>
      <c r="D20" s="202">
        <f>'B7'!D183</f>
        <v>200</v>
      </c>
      <c r="E20" s="248"/>
    </row>
    <row r="21" spans="1:5" s="237" customFormat="1" ht="16.25" customHeight="1" x14ac:dyDescent="0.4">
      <c r="A21" s="243">
        <v>6</v>
      </c>
      <c r="B21" s="247" t="s">
        <v>178</v>
      </c>
      <c r="C21" s="202"/>
      <c r="D21" s="202">
        <f>'B7'!D192</f>
        <v>2702</v>
      </c>
      <c r="E21" s="248"/>
    </row>
    <row r="22" spans="1:5" s="237" customFormat="1" ht="16.25" customHeight="1" x14ac:dyDescent="0.4">
      <c r="A22" s="243">
        <v>7</v>
      </c>
      <c r="B22" s="247" t="s">
        <v>179</v>
      </c>
      <c r="C22" s="202"/>
      <c r="D22" s="202">
        <f>'B7'!D234</f>
        <v>841.69200000000001</v>
      </c>
      <c r="E22" s="248"/>
    </row>
    <row r="23" spans="1:5" s="237" customFormat="1" ht="16.25" customHeight="1" x14ac:dyDescent="0.4">
      <c r="A23" s="243">
        <v>8</v>
      </c>
      <c r="B23" s="247" t="s">
        <v>180</v>
      </c>
      <c r="C23" s="202"/>
      <c r="D23" s="202">
        <f>'B7'!D241</f>
        <v>200</v>
      </c>
      <c r="E23" s="248"/>
    </row>
    <row r="24" spans="1:5" s="237" customFormat="1" ht="16.25" customHeight="1" x14ac:dyDescent="0.4">
      <c r="A24" s="243">
        <v>9</v>
      </c>
      <c r="B24" s="247" t="s">
        <v>181</v>
      </c>
      <c r="C24" s="202"/>
      <c r="D24" s="202">
        <f>'B7'!D196</f>
        <v>5296.5709999999999</v>
      </c>
      <c r="E24" s="248"/>
    </row>
    <row r="25" spans="1:5" s="237" customFormat="1" ht="16.25" customHeight="1" x14ac:dyDescent="0.4">
      <c r="A25" s="243">
        <v>10</v>
      </c>
      <c r="B25" s="247" t="s">
        <v>182</v>
      </c>
      <c r="C25" s="249"/>
      <c r="D25" s="249">
        <f>'B7'!D228</f>
        <v>720</v>
      </c>
      <c r="E25" s="248"/>
    </row>
    <row r="26" spans="1:5" s="237" customFormat="1" ht="16.25" customHeight="1" x14ac:dyDescent="0.4">
      <c r="A26" s="243">
        <v>11</v>
      </c>
      <c r="B26" s="247" t="s">
        <v>183</v>
      </c>
      <c r="C26" s="202"/>
      <c r="D26" s="202">
        <f>'B7'!D232</f>
        <v>300</v>
      </c>
      <c r="E26" s="248"/>
    </row>
    <row r="27" spans="1:5" s="237" customFormat="1" ht="16.25" customHeight="1" x14ac:dyDescent="0.4">
      <c r="A27" s="243">
        <v>12</v>
      </c>
      <c r="B27" s="247" t="s">
        <v>910</v>
      </c>
      <c r="C27" s="202"/>
      <c r="D27" s="202">
        <f>'B7'!D244</f>
        <v>200</v>
      </c>
      <c r="E27" s="248"/>
    </row>
    <row r="28" spans="1:5" s="250" customFormat="1" ht="16.25" customHeight="1" x14ac:dyDescent="0.35">
      <c r="A28" s="239" t="s">
        <v>184</v>
      </c>
      <c r="B28" s="240" t="s">
        <v>911</v>
      </c>
      <c r="C28" s="241">
        <v>2213</v>
      </c>
      <c r="D28" s="241">
        <v>2213</v>
      </c>
      <c r="E28" s="242"/>
    </row>
    <row r="29" spans="1:5" s="250" customFormat="1" ht="16.25" customHeight="1" x14ac:dyDescent="0.35">
      <c r="A29" s="239" t="s">
        <v>36</v>
      </c>
      <c r="B29" s="240" t="s">
        <v>185</v>
      </c>
      <c r="C29" s="241">
        <f>C30+C54</f>
        <v>7468</v>
      </c>
      <c r="D29" s="241">
        <f>D30+D54</f>
        <v>7468</v>
      </c>
      <c r="E29" s="242"/>
    </row>
    <row r="30" spans="1:5" s="250" customFormat="1" ht="16.25" customHeight="1" x14ac:dyDescent="0.35">
      <c r="A30" s="239" t="s">
        <v>163</v>
      </c>
      <c r="B30" s="251" t="s">
        <v>186</v>
      </c>
      <c r="C30" s="241">
        <f>C31+C33</f>
        <v>7468</v>
      </c>
      <c r="D30" s="241">
        <f>D31+D33</f>
        <v>7468</v>
      </c>
      <c r="E30" s="242"/>
    </row>
    <row r="31" spans="1:5" s="250" customFormat="1" ht="16.25" customHeight="1" x14ac:dyDescent="0.35">
      <c r="A31" s="252">
        <v>1</v>
      </c>
      <c r="B31" s="253" t="s">
        <v>187</v>
      </c>
      <c r="C31" s="241">
        <f>C32</f>
        <v>0</v>
      </c>
      <c r="D31" s="241">
        <f>D32</f>
        <v>0</v>
      </c>
      <c r="E31" s="242"/>
    </row>
    <row r="32" spans="1:5" s="237" customFormat="1" ht="16.25" customHeight="1" x14ac:dyDescent="0.4">
      <c r="A32" s="129" t="s">
        <v>188</v>
      </c>
      <c r="B32" s="254" t="s">
        <v>187</v>
      </c>
      <c r="C32" s="202">
        <v>0</v>
      </c>
      <c r="D32" s="202">
        <v>0</v>
      </c>
      <c r="E32" s="248"/>
    </row>
    <row r="33" spans="1:5" s="257" customFormat="1" ht="16.25" customHeight="1" x14ac:dyDescent="0.35">
      <c r="A33" s="10">
        <v>2</v>
      </c>
      <c r="B33" s="9" t="s">
        <v>189</v>
      </c>
      <c r="C33" s="255">
        <f>SUM(C34:C35)+SUM(C42:C53)</f>
        <v>7468</v>
      </c>
      <c r="D33" s="255">
        <f>SUM(D34:D35)+SUM(D42:D53)</f>
        <v>7468</v>
      </c>
      <c r="E33" s="256"/>
    </row>
    <row r="34" spans="1:5" s="257" customFormat="1" ht="51" customHeight="1" x14ac:dyDescent="0.35">
      <c r="A34" s="258" t="s">
        <v>190</v>
      </c>
      <c r="B34" s="259" t="s">
        <v>335</v>
      </c>
      <c r="C34" s="260">
        <v>166</v>
      </c>
      <c r="D34" s="261">
        <v>166</v>
      </c>
      <c r="E34" s="262"/>
    </row>
    <row r="35" spans="1:5" s="257" customFormat="1" ht="51" customHeight="1" x14ac:dyDescent="0.35">
      <c r="A35" s="258" t="s">
        <v>191</v>
      </c>
      <c r="B35" s="259" t="s">
        <v>105</v>
      </c>
      <c r="C35" s="260">
        <v>3393</v>
      </c>
      <c r="D35" s="261">
        <v>3393</v>
      </c>
      <c r="E35" s="262"/>
    </row>
    <row r="36" spans="1:5" s="257" customFormat="1" ht="28.25" customHeight="1" x14ac:dyDescent="0.35">
      <c r="A36" s="258" t="s">
        <v>204</v>
      </c>
      <c r="B36" s="263" t="s">
        <v>986</v>
      </c>
      <c r="C36" s="264"/>
      <c r="D36" s="264">
        <v>1523.366</v>
      </c>
      <c r="E36" s="262"/>
    </row>
    <row r="37" spans="1:5" s="257" customFormat="1" ht="28.25" customHeight="1" x14ac:dyDescent="0.35">
      <c r="A37" s="258" t="s">
        <v>204</v>
      </c>
      <c r="B37" s="263" t="s">
        <v>387</v>
      </c>
      <c r="C37" s="264"/>
      <c r="D37" s="264">
        <v>572.83199999999999</v>
      </c>
      <c r="E37" s="262"/>
    </row>
    <row r="38" spans="1:5" s="257" customFormat="1" ht="28.25" customHeight="1" x14ac:dyDescent="0.35">
      <c r="A38" s="258" t="s">
        <v>204</v>
      </c>
      <c r="B38" s="263" t="s">
        <v>933</v>
      </c>
      <c r="C38" s="264"/>
      <c r="D38" s="264">
        <v>625.62199999999996</v>
      </c>
      <c r="E38" s="262"/>
    </row>
    <row r="39" spans="1:5" s="257" customFormat="1" ht="28.25" customHeight="1" x14ac:dyDescent="0.35">
      <c r="A39" s="258" t="s">
        <v>204</v>
      </c>
      <c r="B39" s="263" t="s">
        <v>386</v>
      </c>
      <c r="C39" s="264"/>
      <c r="D39" s="264">
        <v>238.68</v>
      </c>
      <c r="E39" s="262"/>
    </row>
    <row r="40" spans="1:5" s="257" customFormat="1" ht="28.25" customHeight="1" x14ac:dyDescent="0.35">
      <c r="A40" s="258" t="s">
        <v>204</v>
      </c>
      <c r="B40" s="263" t="s">
        <v>990</v>
      </c>
      <c r="C40" s="264"/>
      <c r="D40" s="264">
        <v>7.5</v>
      </c>
      <c r="E40" s="262"/>
    </row>
    <row r="41" spans="1:5" s="257" customFormat="1" ht="28.25" customHeight="1" x14ac:dyDescent="0.35">
      <c r="A41" s="258" t="s">
        <v>204</v>
      </c>
      <c r="B41" s="263" t="s">
        <v>954</v>
      </c>
      <c r="C41" s="264"/>
      <c r="D41" s="264">
        <v>425</v>
      </c>
      <c r="E41" s="262"/>
    </row>
    <row r="42" spans="1:5" s="257" customFormat="1" ht="51" customHeight="1" x14ac:dyDescent="0.35">
      <c r="A42" s="258" t="s">
        <v>309</v>
      </c>
      <c r="B42" s="259" t="s">
        <v>321</v>
      </c>
      <c r="C42" s="260">
        <v>908</v>
      </c>
      <c r="D42" s="261">
        <v>908</v>
      </c>
      <c r="E42" s="262"/>
    </row>
    <row r="43" spans="1:5" s="257" customFormat="1" ht="51" customHeight="1" x14ac:dyDescent="0.35">
      <c r="A43" s="258" t="s">
        <v>310</v>
      </c>
      <c r="B43" s="259" t="s">
        <v>328</v>
      </c>
      <c r="C43" s="260">
        <v>60</v>
      </c>
      <c r="D43" s="261">
        <v>60</v>
      </c>
      <c r="E43" s="262"/>
    </row>
    <row r="44" spans="1:5" s="257" customFormat="1" ht="51" customHeight="1" x14ac:dyDescent="0.35">
      <c r="A44" s="258" t="s">
        <v>311</v>
      </c>
      <c r="B44" s="259" t="s">
        <v>322</v>
      </c>
      <c r="C44" s="260">
        <v>58</v>
      </c>
      <c r="D44" s="261">
        <v>58</v>
      </c>
      <c r="E44" s="262"/>
    </row>
    <row r="45" spans="1:5" s="257" customFormat="1" ht="51" customHeight="1" x14ac:dyDescent="0.35">
      <c r="A45" s="258" t="s">
        <v>312</v>
      </c>
      <c r="B45" s="259" t="s">
        <v>352</v>
      </c>
      <c r="C45" s="260">
        <v>10</v>
      </c>
      <c r="D45" s="261">
        <v>10</v>
      </c>
      <c r="E45" s="262"/>
    </row>
    <row r="46" spans="1:5" s="257" customFormat="1" ht="51" customHeight="1" x14ac:dyDescent="0.35">
      <c r="A46" s="258" t="s">
        <v>313</v>
      </c>
      <c r="B46" s="259" t="s">
        <v>323</v>
      </c>
      <c r="C46" s="260">
        <v>20</v>
      </c>
      <c r="D46" s="261">
        <v>20</v>
      </c>
      <c r="E46" s="262"/>
    </row>
    <row r="47" spans="1:5" s="257" customFormat="1" ht="51" customHeight="1" x14ac:dyDescent="0.35">
      <c r="A47" s="258" t="s">
        <v>314</v>
      </c>
      <c r="B47" s="259" t="s">
        <v>324</v>
      </c>
      <c r="C47" s="260">
        <v>235</v>
      </c>
      <c r="D47" s="261">
        <v>235</v>
      </c>
      <c r="E47" s="262"/>
    </row>
    <row r="48" spans="1:5" s="257" customFormat="1" ht="51" customHeight="1" x14ac:dyDescent="0.35">
      <c r="A48" s="258" t="s">
        <v>315</v>
      </c>
      <c r="B48" s="259" t="s">
        <v>329</v>
      </c>
      <c r="C48" s="260">
        <v>234</v>
      </c>
      <c r="D48" s="261">
        <v>234</v>
      </c>
      <c r="E48" s="262"/>
    </row>
    <row r="49" spans="1:5" s="257" customFormat="1" ht="51" customHeight="1" x14ac:dyDescent="0.35">
      <c r="A49" s="258" t="s">
        <v>316</v>
      </c>
      <c r="B49" s="259" t="s">
        <v>325</v>
      </c>
      <c r="C49" s="260">
        <v>50</v>
      </c>
      <c r="D49" s="261">
        <v>50</v>
      </c>
      <c r="E49" s="262"/>
    </row>
    <row r="50" spans="1:5" s="257" customFormat="1" ht="51" customHeight="1" x14ac:dyDescent="0.35">
      <c r="A50" s="258" t="s">
        <v>317</v>
      </c>
      <c r="B50" s="259" t="s">
        <v>379</v>
      </c>
      <c r="C50" s="260">
        <v>100</v>
      </c>
      <c r="D50" s="261">
        <v>100</v>
      </c>
      <c r="E50" s="262"/>
    </row>
    <row r="51" spans="1:5" s="257" customFormat="1" ht="51" customHeight="1" x14ac:dyDescent="0.35">
      <c r="A51" s="258" t="s">
        <v>318</v>
      </c>
      <c r="B51" s="259" t="s">
        <v>326</v>
      </c>
      <c r="C51" s="260">
        <v>50</v>
      </c>
      <c r="D51" s="261">
        <v>50</v>
      </c>
      <c r="E51" s="262"/>
    </row>
    <row r="52" spans="1:5" s="257" customFormat="1" ht="51" customHeight="1" x14ac:dyDescent="0.35">
      <c r="A52" s="258" t="s">
        <v>319</v>
      </c>
      <c r="B52" s="259" t="s">
        <v>327</v>
      </c>
      <c r="C52" s="260">
        <v>90</v>
      </c>
      <c r="D52" s="261">
        <v>90</v>
      </c>
      <c r="E52" s="262"/>
    </row>
    <row r="53" spans="1:5" s="257" customFormat="1" ht="51" customHeight="1" x14ac:dyDescent="0.35">
      <c r="A53" s="258" t="s">
        <v>320</v>
      </c>
      <c r="B53" s="259" t="s">
        <v>330</v>
      </c>
      <c r="C53" s="260">
        <v>2094</v>
      </c>
      <c r="D53" s="261">
        <v>2094</v>
      </c>
      <c r="E53" s="262"/>
    </row>
    <row r="54" spans="1:5" s="267" customFormat="1" ht="16.25" customHeight="1" x14ac:dyDescent="0.35">
      <c r="A54" s="239" t="s">
        <v>166</v>
      </c>
      <c r="B54" s="265" t="s">
        <v>192</v>
      </c>
      <c r="C54" s="241">
        <f>C55</f>
        <v>0</v>
      </c>
      <c r="D54" s="241">
        <f>D55</f>
        <v>0</v>
      </c>
      <c r="E54" s="266"/>
    </row>
    <row r="55" spans="1:5" ht="39.6" customHeight="1" x14ac:dyDescent="0.4">
      <c r="A55" s="268"/>
      <c r="B55" s="269"/>
      <c r="C55" s="270"/>
      <c r="D55" s="270"/>
      <c r="E55" s="271"/>
    </row>
  </sheetData>
  <mergeCells count="3">
    <mergeCell ref="A1:D1"/>
    <mergeCell ref="A3:E3"/>
    <mergeCell ref="E9:E10"/>
  </mergeCells>
  <pageMargins left="0.70866141732283472" right="0.70866141732283472" top="0.74803149606299213" bottom="0.74803149606299213" header="0.31496062992125984" footer="0.31496062992125984"/>
  <pageSetup paperSize="9" scale="8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4"/>
  <sheetViews>
    <sheetView tabSelected="1" topLeftCell="A94" zoomScaleNormal="100" workbookViewId="0">
      <selection activeCell="L1" sqref="L1:S1048576"/>
    </sheetView>
  </sheetViews>
  <sheetFormatPr defaultColWidth="11.265625" defaultRowHeight="13.15" x14ac:dyDescent="0.45"/>
  <cols>
    <col min="1" max="1" width="6" style="4" customWidth="1"/>
    <col min="2" max="2" width="45.265625" style="3" customWidth="1"/>
    <col min="3" max="3" width="8.9296875" style="47" customWidth="1"/>
    <col min="4" max="7" width="12.33203125" style="3" customWidth="1"/>
    <col min="8" max="8" width="11.9296875" style="413" customWidth="1"/>
    <col min="9" max="9" width="11.3984375" style="413" customWidth="1"/>
    <col min="10" max="10" width="12.33203125" style="3" customWidth="1"/>
    <col min="11" max="11" width="14.265625" style="4" customWidth="1"/>
    <col min="12" max="12" width="11.265625" style="3" hidden="1" customWidth="1"/>
    <col min="13" max="13" width="12.33203125" style="3" hidden="1" customWidth="1"/>
    <col min="14" max="14" width="12.796875" style="3" hidden="1" customWidth="1"/>
    <col min="15" max="15" width="13.46484375" style="3" hidden="1" customWidth="1"/>
    <col min="16" max="16" width="12.73046875" style="3" hidden="1" customWidth="1"/>
    <col min="17" max="19" width="11.265625" style="3" hidden="1" customWidth="1"/>
    <col min="20" max="21" width="11.265625" style="3" customWidth="1"/>
    <col min="22" max="16384" width="11.265625" style="3"/>
  </cols>
  <sheetData>
    <row r="1" spans="1:19" x14ac:dyDescent="0.45">
      <c r="A1" s="501" t="s">
        <v>60</v>
      </c>
      <c r="B1" s="501"/>
      <c r="C1" s="1"/>
      <c r="D1" s="2"/>
      <c r="E1" s="2"/>
      <c r="F1" s="2"/>
      <c r="G1" s="2"/>
      <c r="H1" s="407"/>
      <c r="I1" s="407"/>
      <c r="J1" s="500" t="s">
        <v>303</v>
      </c>
      <c r="K1" s="500"/>
    </row>
    <row r="2" spans="1:19" ht="30.75" customHeight="1" x14ac:dyDescent="0.45">
      <c r="A2" s="501" t="s">
        <v>298</v>
      </c>
      <c r="B2" s="501"/>
      <c r="C2" s="501"/>
      <c r="D2" s="501"/>
      <c r="E2" s="501"/>
      <c r="F2" s="501"/>
      <c r="G2" s="501"/>
      <c r="H2" s="501"/>
      <c r="I2" s="501"/>
      <c r="J2" s="501"/>
      <c r="K2" s="501"/>
    </row>
    <row r="3" spans="1:19" ht="15.5" customHeight="1" x14ac:dyDescent="0.45">
      <c r="B3" s="5"/>
      <c r="C3" s="6"/>
      <c r="D3" s="7"/>
      <c r="E3" s="7"/>
      <c r="F3" s="7"/>
      <c r="G3" s="496" t="s">
        <v>61</v>
      </c>
      <c r="H3" s="496"/>
      <c r="I3" s="496"/>
      <c r="J3" s="496"/>
      <c r="K3" s="496"/>
    </row>
    <row r="4" spans="1:19" ht="47" customHeight="1" x14ac:dyDescent="0.45">
      <c r="A4" s="507" t="s">
        <v>64</v>
      </c>
      <c r="B4" s="507" t="s">
        <v>193</v>
      </c>
      <c r="C4" s="510" t="s">
        <v>194</v>
      </c>
      <c r="D4" s="513" t="s">
        <v>195</v>
      </c>
      <c r="E4" s="514"/>
      <c r="F4" s="514"/>
      <c r="G4" s="515"/>
      <c r="H4" s="493" t="s">
        <v>983</v>
      </c>
      <c r="I4" s="493" t="s">
        <v>985</v>
      </c>
      <c r="J4" s="502" t="s">
        <v>304</v>
      </c>
      <c r="K4" s="497" t="s">
        <v>160</v>
      </c>
    </row>
    <row r="5" spans="1:19" ht="28.25" customHeight="1" x14ac:dyDescent="0.45">
      <c r="A5" s="508"/>
      <c r="B5" s="508"/>
      <c r="C5" s="511"/>
      <c r="D5" s="505" t="s">
        <v>196</v>
      </c>
      <c r="E5" s="505" t="s">
        <v>197</v>
      </c>
      <c r="F5" s="505" t="s">
        <v>198</v>
      </c>
      <c r="G5" s="506" t="s">
        <v>199</v>
      </c>
      <c r="H5" s="494"/>
      <c r="I5" s="494"/>
      <c r="J5" s="503"/>
      <c r="K5" s="498"/>
    </row>
    <row r="6" spans="1:19" ht="83" customHeight="1" x14ac:dyDescent="0.45">
      <c r="A6" s="509"/>
      <c r="B6" s="509"/>
      <c r="C6" s="512"/>
      <c r="D6" s="505"/>
      <c r="E6" s="505"/>
      <c r="F6" s="505"/>
      <c r="G6" s="506"/>
      <c r="H6" s="495"/>
      <c r="I6" s="495"/>
      <c r="J6" s="504"/>
      <c r="K6" s="499"/>
      <c r="M6" s="402">
        <f>2111-H8</f>
        <v>-18.0600000000004</v>
      </c>
      <c r="N6" s="403">
        <f>1900-I8</f>
        <v>-16.154000000000224</v>
      </c>
      <c r="P6" s="404">
        <f>H8+I8</f>
        <v>4045.2140000000009</v>
      </c>
    </row>
    <row r="7" spans="1:19" s="38" customFormat="1" ht="33" customHeight="1" x14ac:dyDescent="0.45">
      <c r="A7" s="362" t="s">
        <v>35</v>
      </c>
      <c r="B7" s="362" t="s">
        <v>36</v>
      </c>
      <c r="C7" s="363">
        <v>1</v>
      </c>
      <c r="D7" s="363" t="s">
        <v>305</v>
      </c>
      <c r="E7" s="363">
        <v>3</v>
      </c>
      <c r="F7" s="363">
        <v>4</v>
      </c>
      <c r="G7" s="363">
        <v>5</v>
      </c>
      <c r="H7" s="363">
        <v>6</v>
      </c>
      <c r="I7" s="363">
        <v>7</v>
      </c>
      <c r="J7" s="363" t="s">
        <v>984</v>
      </c>
      <c r="K7" s="363">
        <v>9</v>
      </c>
      <c r="M7" s="178">
        <v>107492</v>
      </c>
      <c r="N7" s="385">
        <f>M7-D8</f>
        <v>0</v>
      </c>
      <c r="O7" s="364">
        <f>H8+I8</f>
        <v>4045.2140000000009</v>
      </c>
      <c r="Q7" s="38">
        <v>4011</v>
      </c>
      <c r="R7" s="401">
        <f>Q7-O7</f>
        <v>-34.214000000000851</v>
      </c>
    </row>
    <row r="8" spans="1:19" ht="25.25" customHeight="1" x14ac:dyDescent="0.45">
      <c r="A8" s="8"/>
      <c r="B8" s="9" t="s">
        <v>200</v>
      </c>
      <c r="C8" s="10"/>
      <c r="D8" s="11">
        <f t="shared" ref="D8:J8" si="0">D9+D126+D173+D180+D183+D190+D192+D196+D228+D232+D233+D244+D245</f>
        <v>107492</v>
      </c>
      <c r="E8" s="11">
        <f t="shared" si="0"/>
        <v>68201.443999999989</v>
      </c>
      <c r="F8" s="11">
        <f t="shared" si="0"/>
        <v>14018.575999999999</v>
      </c>
      <c r="G8" s="11">
        <f t="shared" si="0"/>
        <v>25271.98</v>
      </c>
      <c r="H8" s="23">
        <f t="shared" si="0"/>
        <v>2129.0600000000004</v>
      </c>
      <c r="I8" s="23">
        <f t="shared" si="0"/>
        <v>1916.1540000000002</v>
      </c>
      <c r="J8" s="11">
        <f t="shared" si="0"/>
        <v>103446.78599999999</v>
      </c>
      <c r="K8" s="50"/>
      <c r="M8" s="178" t="s">
        <v>907</v>
      </c>
      <c r="N8" s="51"/>
      <c r="O8" s="51">
        <f>H8+I8+J8</f>
        <v>107492</v>
      </c>
      <c r="S8" s="13"/>
    </row>
    <row r="9" spans="1:19" ht="20.75" customHeight="1" x14ac:dyDescent="0.45">
      <c r="A9" s="8" t="s">
        <v>35</v>
      </c>
      <c r="B9" s="9" t="s">
        <v>201</v>
      </c>
      <c r="C9" s="10"/>
      <c r="D9" s="11">
        <f t="shared" ref="D9:J9" si="1">D10+D65+D87+D125+D123+D124</f>
        <v>24070.737000000005</v>
      </c>
      <c r="E9" s="11">
        <f t="shared" si="1"/>
        <v>14691.980999999998</v>
      </c>
      <c r="F9" s="11">
        <f t="shared" si="1"/>
        <v>5073.7759999999998</v>
      </c>
      <c r="G9" s="11">
        <f t="shared" si="1"/>
        <v>4304.9799999999996</v>
      </c>
      <c r="H9" s="23">
        <f t="shared" si="1"/>
        <v>782.98</v>
      </c>
      <c r="I9" s="23">
        <f t="shared" ref="I9" si="2">I10+I65+I87+I125+I123+I124</f>
        <v>704.68200000000002</v>
      </c>
      <c r="J9" s="11">
        <f t="shared" si="1"/>
        <v>22583.074999999997</v>
      </c>
      <c r="K9" s="50"/>
      <c r="L9" s="20">
        <v>561</v>
      </c>
      <c r="M9" s="179">
        <v>8887.2191340000008</v>
      </c>
      <c r="N9" s="180">
        <f>F9/(M9+F9)*100</f>
        <v>36.342509622709819</v>
      </c>
      <c r="O9" s="400">
        <f>O8-D8</f>
        <v>0</v>
      </c>
    </row>
    <row r="10" spans="1:19" ht="20.75" customHeight="1" x14ac:dyDescent="0.45">
      <c r="A10" s="8" t="s">
        <v>163</v>
      </c>
      <c r="B10" s="9" t="s">
        <v>202</v>
      </c>
      <c r="C10" s="10">
        <f>C11+C22+C38+C45</f>
        <v>31</v>
      </c>
      <c r="D10" s="14">
        <f t="shared" ref="D10:J10" si="3">D11+D22+D38+D45+D57</f>
        <v>10677.751</v>
      </c>
      <c r="E10" s="14">
        <f t="shared" si="3"/>
        <v>6495.9709999999995</v>
      </c>
      <c r="F10" s="14">
        <f t="shared" si="3"/>
        <v>2366.4</v>
      </c>
      <c r="G10" s="14">
        <f t="shared" si="3"/>
        <v>1815.38</v>
      </c>
      <c r="H10" s="408">
        <f t="shared" si="3"/>
        <v>331.25</v>
      </c>
      <c r="I10" s="408">
        <f t="shared" ref="I10" si="4">I11+I22+I38+I45+I57</f>
        <v>298.125</v>
      </c>
      <c r="J10" s="14">
        <f t="shared" si="3"/>
        <v>10048.376</v>
      </c>
      <c r="K10" s="52"/>
      <c r="N10" s="12"/>
    </row>
    <row r="11" spans="1:19" ht="20.75" customHeight="1" x14ac:dyDescent="0.45">
      <c r="A11" s="8">
        <v>1</v>
      </c>
      <c r="B11" s="9" t="s">
        <v>203</v>
      </c>
      <c r="C11" s="10">
        <v>4</v>
      </c>
      <c r="D11" s="14">
        <f>SUM(D12:D21)</f>
        <v>1478.6320000000001</v>
      </c>
      <c r="E11" s="14">
        <f>SUM(E12:E21)</f>
        <v>648.35200000000009</v>
      </c>
      <c r="F11" s="14">
        <f t="shared" ref="F11:J11" si="5">SUM(F12:F21)</f>
        <v>211.20000000000002</v>
      </c>
      <c r="G11" s="14">
        <f t="shared" si="5"/>
        <v>619.08000000000004</v>
      </c>
      <c r="H11" s="408">
        <f t="shared" si="5"/>
        <v>33.120000000000005</v>
      </c>
      <c r="I11" s="408">
        <f t="shared" ref="I11" si="6">SUM(I12:I21)</f>
        <v>29.808000000000003</v>
      </c>
      <c r="J11" s="14">
        <f t="shared" si="5"/>
        <v>1415.7040000000002</v>
      </c>
      <c r="K11" s="52"/>
    </row>
    <row r="12" spans="1:19" ht="30" customHeight="1" x14ac:dyDescent="0.45">
      <c r="A12" s="15" t="s">
        <v>204</v>
      </c>
      <c r="B12" s="16" t="s">
        <v>205</v>
      </c>
      <c r="C12" s="10"/>
      <c r="D12" s="17">
        <f>SUM(E12:G12)</f>
        <v>831.50100000000009</v>
      </c>
      <c r="E12" s="17">
        <v>620.30100000000004</v>
      </c>
      <c r="F12" s="17">
        <f>C11*33*1.6</f>
        <v>211.20000000000002</v>
      </c>
      <c r="G12" s="17"/>
      <c r="H12" s="409">
        <f>(F12+G12)*10%</f>
        <v>21.120000000000005</v>
      </c>
      <c r="I12" s="409">
        <f>(F12+G12-H12)*10%</f>
        <v>19.008000000000003</v>
      </c>
      <c r="J12" s="17">
        <f>D12-H12-I12</f>
        <v>791.37300000000005</v>
      </c>
      <c r="K12" s="52"/>
      <c r="M12" s="13"/>
    </row>
    <row r="13" spans="1:19" ht="25.25" customHeight="1" x14ac:dyDescent="0.45">
      <c r="A13" s="15" t="s">
        <v>204</v>
      </c>
      <c r="B13" s="16" t="s">
        <v>206</v>
      </c>
      <c r="C13" s="10"/>
      <c r="D13" s="17">
        <f t="shared" ref="D13:D86" si="7">SUM(E13:G13)</f>
        <v>28.050999999999998</v>
      </c>
      <c r="E13" s="17">
        <v>28.050999999999998</v>
      </c>
      <c r="F13" s="17"/>
      <c r="G13" s="17"/>
      <c r="H13" s="409">
        <f t="shared" ref="H13" si="8">(F13+G13)*10%</f>
        <v>0</v>
      </c>
      <c r="I13" s="409">
        <f t="shared" ref="I13:I78" si="9">(F13+G13-H13)*10%</f>
        <v>0</v>
      </c>
      <c r="J13" s="17">
        <f t="shared" ref="J13:J78" si="10">D13-H13-I13</f>
        <v>28.050999999999998</v>
      </c>
      <c r="K13" s="52"/>
    </row>
    <row r="14" spans="1:19" ht="25.25" customHeight="1" x14ac:dyDescent="0.45">
      <c r="A14" s="15" t="s">
        <v>204</v>
      </c>
      <c r="B14" s="16" t="s">
        <v>207</v>
      </c>
      <c r="C14" s="10"/>
      <c r="D14" s="17">
        <f t="shared" si="7"/>
        <v>294.83999999999997</v>
      </c>
      <c r="E14" s="17"/>
      <c r="F14" s="17"/>
      <c r="G14" s="17">
        <v>294.83999999999997</v>
      </c>
      <c r="H14" s="409"/>
      <c r="I14" s="409"/>
      <c r="J14" s="17">
        <f t="shared" si="10"/>
        <v>294.83999999999997</v>
      </c>
      <c r="K14" s="52"/>
    </row>
    <row r="15" spans="1:19" ht="25.25" customHeight="1" x14ac:dyDescent="0.45">
      <c r="A15" s="15" t="s">
        <v>204</v>
      </c>
      <c r="B15" s="16" t="s">
        <v>345</v>
      </c>
      <c r="C15" s="10"/>
      <c r="D15" s="17">
        <f t="shared" si="7"/>
        <v>50</v>
      </c>
      <c r="E15" s="17"/>
      <c r="F15" s="17"/>
      <c r="G15" s="17">
        <v>50</v>
      </c>
      <c r="H15" s="409"/>
      <c r="I15" s="409"/>
      <c r="J15" s="17">
        <f t="shared" si="10"/>
        <v>50</v>
      </c>
      <c r="K15" s="52"/>
    </row>
    <row r="16" spans="1:19" ht="32.450000000000003" customHeight="1" x14ac:dyDescent="0.45">
      <c r="A16" s="15" t="s">
        <v>204</v>
      </c>
      <c r="B16" s="16" t="s">
        <v>341</v>
      </c>
      <c r="C16" s="10"/>
      <c r="D16" s="17">
        <f t="shared" si="7"/>
        <v>49.54</v>
      </c>
      <c r="E16" s="17"/>
      <c r="F16" s="17"/>
      <c r="G16" s="17">
        <v>49.54</v>
      </c>
      <c r="H16" s="409"/>
      <c r="I16" s="409"/>
      <c r="J16" s="17">
        <f t="shared" si="10"/>
        <v>49.54</v>
      </c>
      <c r="K16" s="52"/>
    </row>
    <row r="17" spans="1:17" ht="32.450000000000003" customHeight="1" x14ac:dyDescent="0.45">
      <c r="A17" s="15" t="s">
        <v>204</v>
      </c>
      <c r="B17" s="16" t="s">
        <v>343</v>
      </c>
      <c r="C17" s="10"/>
      <c r="D17" s="17">
        <f t="shared" si="7"/>
        <v>80</v>
      </c>
      <c r="E17" s="17"/>
      <c r="F17" s="17"/>
      <c r="G17" s="17">
        <v>80</v>
      </c>
      <c r="H17" s="409">
        <f t="shared" ref="H17:H18" si="11">(F17+G17)*10%</f>
        <v>8</v>
      </c>
      <c r="I17" s="409">
        <f t="shared" si="9"/>
        <v>7.2</v>
      </c>
      <c r="J17" s="17">
        <f t="shared" si="10"/>
        <v>64.8</v>
      </c>
      <c r="K17" s="52"/>
    </row>
    <row r="18" spans="1:17" ht="32.450000000000003" customHeight="1" x14ac:dyDescent="0.45">
      <c r="A18" s="15" t="s">
        <v>204</v>
      </c>
      <c r="B18" s="16" t="s">
        <v>344</v>
      </c>
      <c r="C18" s="10"/>
      <c r="D18" s="17">
        <f t="shared" si="7"/>
        <v>40</v>
      </c>
      <c r="E18" s="17"/>
      <c r="F18" s="17"/>
      <c r="G18" s="17">
        <v>40</v>
      </c>
      <c r="H18" s="409">
        <f t="shared" si="11"/>
        <v>4</v>
      </c>
      <c r="I18" s="409">
        <f t="shared" si="9"/>
        <v>3.6</v>
      </c>
      <c r="J18" s="17">
        <f t="shared" si="10"/>
        <v>32.4</v>
      </c>
      <c r="K18" s="52"/>
    </row>
    <row r="19" spans="1:17" ht="41.75" customHeight="1" x14ac:dyDescent="0.45">
      <c r="A19" s="15" t="s">
        <v>204</v>
      </c>
      <c r="B19" s="16" t="s">
        <v>346</v>
      </c>
      <c r="C19" s="10"/>
      <c r="D19" s="17">
        <f t="shared" si="7"/>
        <v>10.199999999999999</v>
      </c>
      <c r="E19" s="17"/>
      <c r="F19" s="17"/>
      <c r="G19" s="17">
        <v>10.199999999999999</v>
      </c>
      <c r="H19" s="409"/>
      <c r="I19" s="409"/>
      <c r="J19" s="17">
        <f t="shared" si="10"/>
        <v>10.199999999999999</v>
      </c>
      <c r="K19" s="52"/>
    </row>
    <row r="20" spans="1:17" ht="40.9" customHeight="1" x14ac:dyDescent="0.45">
      <c r="A20" s="15" t="s">
        <v>204</v>
      </c>
      <c r="B20" s="16" t="s">
        <v>342</v>
      </c>
      <c r="C20" s="10"/>
      <c r="D20" s="17">
        <f t="shared" si="7"/>
        <v>60.15</v>
      </c>
      <c r="E20" s="17"/>
      <c r="F20" s="17"/>
      <c r="G20" s="17">
        <v>60.15</v>
      </c>
      <c r="H20" s="409"/>
      <c r="I20" s="409"/>
      <c r="J20" s="17">
        <f t="shared" si="10"/>
        <v>60.15</v>
      </c>
      <c r="K20" s="52"/>
    </row>
    <row r="21" spans="1:17" ht="50.75" customHeight="1" x14ac:dyDescent="0.45">
      <c r="A21" s="15" t="s">
        <v>204</v>
      </c>
      <c r="B21" s="16" t="s">
        <v>340</v>
      </c>
      <c r="C21" s="10"/>
      <c r="D21" s="17">
        <f t="shared" si="7"/>
        <v>34.35</v>
      </c>
      <c r="E21" s="17"/>
      <c r="F21" s="17"/>
      <c r="G21" s="17">
        <v>34.35</v>
      </c>
      <c r="H21" s="409"/>
      <c r="I21" s="409"/>
      <c r="J21" s="17">
        <f t="shared" si="10"/>
        <v>34.35</v>
      </c>
      <c r="K21" s="52"/>
    </row>
    <row r="22" spans="1:17" ht="21" customHeight="1" x14ac:dyDescent="0.45">
      <c r="A22" s="8">
        <v>2</v>
      </c>
      <c r="B22" s="9" t="s">
        <v>208</v>
      </c>
      <c r="C22" s="10">
        <v>12</v>
      </c>
      <c r="D22" s="14">
        <f>SUM(D23:D37)</f>
        <v>3774.9639999999999</v>
      </c>
      <c r="E22" s="14">
        <f>SUM(E23:E37)</f>
        <v>2015.2639999999999</v>
      </c>
      <c r="F22" s="14">
        <f t="shared" ref="F22:J22" si="12">SUM(F23:F37)</f>
        <v>1323.6</v>
      </c>
      <c r="G22" s="14">
        <f t="shared" si="12"/>
        <v>436.1</v>
      </c>
      <c r="H22" s="408">
        <f t="shared" si="12"/>
        <v>139.87</v>
      </c>
      <c r="I22" s="408">
        <f t="shared" si="12"/>
        <v>125.883</v>
      </c>
      <c r="J22" s="14">
        <f t="shared" si="12"/>
        <v>3509.2110000000002</v>
      </c>
      <c r="K22" s="52"/>
    </row>
    <row r="23" spans="1:17" ht="28.9" customHeight="1" x14ac:dyDescent="0.45">
      <c r="A23" s="15" t="s">
        <v>204</v>
      </c>
      <c r="B23" s="16" t="s">
        <v>205</v>
      </c>
      <c r="C23" s="10"/>
      <c r="D23" s="17">
        <f t="shared" si="7"/>
        <v>2559.8510000000001</v>
      </c>
      <c r="E23" s="17">
        <v>1926.251</v>
      </c>
      <c r="F23" s="17">
        <f>C22*33*1.6</f>
        <v>633.6</v>
      </c>
      <c r="G23" s="14"/>
      <c r="H23" s="409">
        <f t="shared" ref="H23:H37" si="13">(F23+G23)*10%</f>
        <v>63.360000000000007</v>
      </c>
      <c r="I23" s="409">
        <f t="shared" si="9"/>
        <v>57.024000000000001</v>
      </c>
      <c r="J23" s="17">
        <f t="shared" si="10"/>
        <v>2439.4670000000001</v>
      </c>
      <c r="K23" s="52"/>
      <c r="M23" s="13"/>
    </row>
    <row r="24" spans="1:17" ht="21" customHeight="1" x14ac:dyDescent="0.45">
      <c r="A24" s="15" t="s">
        <v>204</v>
      </c>
      <c r="B24" s="18" t="s">
        <v>206</v>
      </c>
      <c r="C24" s="10"/>
      <c r="D24" s="17">
        <f t="shared" si="7"/>
        <v>89.013000000000005</v>
      </c>
      <c r="E24" s="17">
        <v>89.013000000000005</v>
      </c>
      <c r="F24" s="17"/>
      <c r="G24" s="14"/>
      <c r="H24" s="409">
        <f t="shared" si="13"/>
        <v>0</v>
      </c>
      <c r="I24" s="409">
        <f t="shared" si="9"/>
        <v>0</v>
      </c>
      <c r="J24" s="17">
        <f t="shared" si="10"/>
        <v>89.013000000000005</v>
      </c>
      <c r="K24" s="52"/>
      <c r="Q24" s="13"/>
    </row>
    <row r="25" spans="1:17" ht="28.5" customHeight="1" x14ac:dyDescent="0.45">
      <c r="A25" s="15" t="s">
        <v>204</v>
      </c>
      <c r="B25" s="18" t="s">
        <v>965</v>
      </c>
      <c r="C25" s="10"/>
      <c r="D25" s="17">
        <f t="shared" si="7"/>
        <v>310</v>
      </c>
      <c r="E25" s="14"/>
      <c r="F25" s="17">
        <v>310</v>
      </c>
      <c r="G25" s="17"/>
      <c r="H25" s="409"/>
      <c r="I25" s="409"/>
      <c r="J25" s="17">
        <f t="shared" si="10"/>
        <v>310</v>
      </c>
      <c r="K25" s="52"/>
    </row>
    <row r="26" spans="1:17" ht="28.5" customHeight="1" x14ac:dyDescent="0.45">
      <c r="A26" s="15" t="s">
        <v>204</v>
      </c>
      <c r="B26" s="18" t="s">
        <v>988</v>
      </c>
      <c r="C26" s="10"/>
      <c r="D26" s="17">
        <f t="shared" si="7"/>
        <v>51</v>
      </c>
      <c r="E26" s="14"/>
      <c r="F26" s="17"/>
      <c r="G26" s="17">
        <f>3*17</f>
        <v>51</v>
      </c>
      <c r="H26" s="409"/>
      <c r="I26" s="409"/>
      <c r="J26" s="17">
        <f t="shared" si="10"/>
        <v>51</v>
      </c>
      <c r="K26" s="52"/>
    </row>
    <row r="27" spans="1:17" ht="51" customHeight="1" x14ac:dyDescent="0.45">
      <c r="A27" s="15" t="s">
        <v>204</v>
      </c>
      <c r="B27" s="18" t="s">
        <v>936</v>
      </c>
      <c r="C27" s="10"/>
      <c r="D27" s="17">
        <f t="shared" si="7"/>
        <v>50</v>
      </c>
      <c r="E27" s="14"/>
      <c r="F27" s="17"/>
      <c r="G27" s="17">
        <v>50</v>
      </c>
      <c r="H27" s="409">
        <f t="shared" si="13"/>
        <v>5</v>
      </c>
      <c r="I27" s="409">
        <f t="shared" si="9"/>
        <v>4.5</v>
      </c>
      <c r="J27" s="17">
        <f t="shared" si="10"/>
        <v>40.5</v>
      </c>
      <c r="K27" s="52"/>
    </row>
    <row r="28" spans="1:17" ht="51" customHeight="1" x14ac:dyDescent="0.45">
      <c r="A28" s="15" t="s">
        <v>204</v>
      </c>
      <c r="B28" s="18" t="s">
        <v>969</v>
      </c>
      <c r="C28" s="10"/>
      <c r="D28" s="17">
        <f t="shared" si="7"/>
        <v>30</v>
      </c>
      <c r="E28" s="14"/>
      <c r="F28" s="17"/>
      <c r="G28" s="17">
        <v>30</v>
      </c>
      <c r="H28" s="409">
        <f t="shared" si="13"/>
        <v>3</v>
      </c>
      <c r="I28" s="409">
        <f t="shared" si="9"/>
        <v>2.7</v>
      </c>
      <c r="J28" s="17">
        <f t="shared" si="10"/>
        <v>24.3</v>
      </c>
      <c r="K28" s="52"/>
    </row>
    <row r="29" spans="1:17" ht="51" customHeight="1" x14ac:dyDescent="0.45">
      <c r="A29" s="15" t="s">
        <v>204</v>
      </c>
      <c r="B29" s="18" t="s">
        <v>937</v>
      </c>
      <c r="C29" s="10"/>
      <c r="D29" s="17">
        <f t="shared" si="7"/>
        <v>40</v>
      </c>
      <c r="E29" s="14"/>
      <c r="F29" s="17"/>
      <c r="G29" s="17">
        <v>40</v>
      </c>
      <c r="H29" s="409">
        <f t="shared" si="13"/>
        <v>4</v>
      </c>
      <c r="I29" s="409">
        <f t="shared" si="9"/>
        <v>3.6</v>
      </c>
      <c r="J29" s="17">
        <f t="shared" si="10"/>
        <v>32.4</v>
      </c>
      <c r="K29" s="52"/>
    </row>
    <row r="30" spans="1:17" ht="51" customHeight="1" x14ac:dyDescent="0.45">
      <c r="A30" s="15" t="s">
        <v>204</v>
      </c>
      <c r="B30" s="18" t="s">
        <v>973</v>
      </c>
      <c r="C30" s="10"/>
      <c r="D30" s="17">
        <f t="shared" si="7"/>
        <v>20</v>
      </c>
      <c r="E30" s="14"/>
      <c r="F30" s="17"/>
      <c r="G30" s="17">
        <v>20</v>
      </c>
      <c r="H30" s="409">
        <f t="shared" si="13"/>
        <v>2</v>
      </c>
      <c r="I30" s="409">
        <f t="shared" si="9"/>
        <v>1.8</v>
      </c>
      <c r="J30" s="17">
        <f t="shared" si="10"/>
        <v>16.2</v>
      </c>
      <c r="K30" s="52"/>
    </row>
    <row r="31" spans="1:17" ht="28.5" customHeight="1" x14ac:dyDescent="0.45">
      <c r="A31" s="15" t="s">
        <v>204</v>
      </c>
      <c r="B31" s="18" t="s">
        <v>209</v>
      </c>
      <c r="C31" s="10"/>
      <c r="D31" s="17">
        <f t="shared" si="7"/>
        <v>35.099999999999994</v>
      </c>
      <c r="E31" s="14"/>
      <c r="F31" s="14"/>
      <c r="G31" s="17">
        <f>15*2.34</f>
        <v>35.099999999999994</v>
      </c>
      <c r="H31" s="409">
        <f t="shared" si="13"/>
        <v>3.51</v>
      </c>
      <c r="I31" s="409">
        <f t="shared" ref="I31" si="14">(F31+G31-H31)*10%</f>
        <v>3.1589999999999998</v>
      </c>
      <c r="J31" s="17">
        <f t="shared" si="10"/>
        <v>28.430999999999997</v>
      </c>
      <c r="K31" s="52"/>
    </row>
    <row r="32" spans="1:17" ht="28.5" customHeight="1" x14ac:dyDescent="0.45">
      <c r="A32" s="15" t="s">
        <v>204</v>
      </c>
      <c r="B32" s="18" t="s">
        <v>950</v>
      </c>
      <c r="C32" s="10"/>
      <c r="D32" s="17">
        <f t="shared" si="7"/>
        <v>200</v>
      </c>
      <c r="E32" s="14"/>
      <c r="F32" s="17">
        <v>200</v>
      </c>
      <c r="G32" s="17"/>
      <c r="H32" s="409">
        <f t="shared" si="13"/>
        <v>20</v>
      </c>
      <c r="I32" s="409">
        <f t="shared" si="9"/>
        <v>18</v>
      </c>
      <c r="J32" s="17">
        <f t="shared" si="10"/>
        <v>162</v>
      </c>
      <c r="K32" s="52"/>
    </row>
    <row r="33" spans="1:13" ht="28.5" customHeight="1" x14ac:dyDescent="0.45">
      <c r="A33" s="15" t="s">
        <v>204</v>
      </c>
      <c r="B33" s="18" t="s">
        <v>951</v>
      </c>
      <c r="C33" s="10"/>
      <c r="D33" s="17">
        <f t="shared" si="7"/>
        <v>180</v>
      </c>
      <c r="E33" s="14"/>
      <c r="F33" s="17">
        <v>180</v>
      </c>
      <c r="G33" s="17"/>
      <c r="H33" s="409">
        <f t="shared" si="13"/>
        <v>18</v>
      </c>
      <c r="I33" s="409">
        <f t="shared" si="9"/>
        <v>16.2</v>
      </c>
      <c r="J33" s="17">
        <f t="shared" si="10"/>
        <v>145.80000000000001</v>
      </c>
      <c r="K33" s="52"/>
    </row>
    <row r="34" spans="1:13" ht="33.950000000000003" customHeight="1" x14ac:dyDescent="0.45">
      <c r="A34" s="15" t="s">
        <v>204</v>
      </c>
      <c r="B34" s="18" t="s">
        <v>210</v>
      </c>
      <c r="C34" s="10"/>
      <c r="D34" s="17">
        <f t="shared" si="7"/>
        <v>100</v>
      </c>
      <c r="E34" s="14"/>
      <c r="F34" s="14"/>
      <c r="G34" s="17">
        <v>100</v>
      </c>
      <c r="H34" s="409">
        <f t="shared" si="13"/>
        <v>10</v>
      </c>
      <c r="I34" s="409">
        <f t="shared" si="9"/>
        <v>9</v>
      </c>
      <c r="J34" s="17">
        <f t="shared" si="10"/>
        <v>81</v>
      </c>
      <c r="K34" s="52"/>
    </row>
    <row r="35" spans="1:13" ht="43.25" customHeight="1" x14ac:dyDescent="0.45">
      <c r="A35" s="15" t="s">
        <v>204</v>
      </c>
      <c r="B35" s="18" t="s">
        <v>211</v>
      </c>
      <c r="C35" s="10"/>
      <c r="D35" s="17">
        <f t="shared" si="7"/>
        <v>40</v>
      </c>
      <c r="E35" s="14"/>
      <c r="F35" s="14"/>
      <c r="G35" s="17">
        <v>40</v>
      </c>
      <c r="H35" s="409">
        <f t="shared" si="13"/>
        <v>4</v>
      </c>
      <c r="I35" s="409">
        <f t="shared" si="9"/>
        <v>3.6</v>
      </c>
      <c r="J35" s="17">
        <f t="shared" si="10"/>
        <v>32.4</v>
      </c>
      <c r="K35" s="52"/>
    </row>
    <row r="36" spans="1:13" ht="21" customHeight="1" x14ac:dyDescent="0.45">
      <c r="A36" s="15" t="s">
        <v>204</v>
      </c>
      <c r="B36" s="18" t="s">
        <v>212</v>
      </c>
      <c r="C36" s="10"/>
      <c r="D36" s="17">
        <f t="shared" si="7"/>
        <v>20</v>
      </c>
      <c r="E36" s="14"/>
      <c r="F36" s="14"/>
      <c r="G36" s="17">
        <v>20</v>
      </c>
      <c r="H36" s="409">
        <f t="shared" si="13"/>
        <v>2</v>
      </c>
      <c r="I36" s="409">
        <f t="shared" si="9"/>
        <v>1.8</v>
      </c>
      <c r="J36" s="17">
        <f t="shared" si="10"/>
        <v>16.2</v>
      </c>
      <c r="K36" s="52"/>
    </row>
    <row r="37" spans="1:13" ht="29" customHeight="1" x14ac:dyDescent="0.45">
      <c r="A37" s="15" t="s">
        <v>204</v>
      </c>
      <c r="B37" s="18" t="s">
        <v>213</v>
      </c>
      <c r="C37" s="10"/>
      <c r="D37" s="17">
        <f t="shared" si="7"/>
        <v>50</v>
      </c>
      <c r="E37" s="14"/>
      <c r="F37" s="14"/>
      <c r="G37" s="17">
        <v>50</v>
      </c>
      <c r="H37" s="409">
        <f t="shared" si="13"/>
        <v>5</v>
      </c>
      <c r="I37" s="409">
        <f t="shared" si="9"/>
        <v>4.5</v>
      </c>
      <c r="J37" s="17">
        <f t="shared" si="10"/>
        <v>40.5</v>
      </c>
      <c r="K37" s="52"/>
    </row>
    <row r="38" spans="1:13" s="20" customFormat="1" ht="20" customHeight="1" x14ac:dyDescent="0.45">
      <c r="A38" s="8">
        <v>3</v>
      </c>
      <c r="B38" s="19" t="s">
        <v>214</v>
      </c>
      <c r="C38" s="10">
        <v>7</v>
      </c>
      <c r="D38" s="14">
        <f>SUM(D39:D44)</f>
        <v>1660.1</v>
      </c>
      <c r="E38" s="14">
        <f t="shared" ref="E38:J38" si="15">SUM(E39:E44)</f>
        <v>1312.8999999999999</v>
      </c>
      <c r="F38" s="14">
        <f t="shared" si="15"/>
        <v>277.2</v>
      </c>
      <c r="G38" s="14">
        <f t="shared" si="15"/>
        <v>70</v>
      </c>
      <c r="H38" s="408">
        <f t="shared" si="15"/>
        <v>34.72</v>
      </c>
      <c r="I38" s="408">
        <f t="shared" si="15"/>
        <v>31.247999999999998</v>
      </c>
      <c r="J38" s="14">
        <f t="shared" si="15"/>
        <v>1594.1319999999996</v>
      </c>
      <c r="K38" s="52"/>
    </row>
    <row r="39" spans="1:13" s="20" customFormat="1" ht="34.9" customHeight="1" x14ac:dyDescent="0.45">
      <c r="A39" s="21" t="s">
        <v>204</v>
      </c>
      <c r="B39" s="16" t="s">
        <v>205</v>
      </c>
      <c r="C39" s="10"/>
      <c r="D39" s="17">
        <f t="shared" si="7"/>
        <v>1524.646</v>
      </c>
      <c r="E39" s="17">
        <v>1247.4459999999999</v>
      </c>
      <c r="F39" s="17">
        <f>C38*33*1.2</f>
        <v>277.2</v>
      </c>
      <c r="G39" s="14"/>
      <c r="H39" s="409">
        <f t="shared" ref="H39:H40" si="16">(F39+G39)*10%</f>
        <v>27.72</v>
      </c>
      <c r="I39" s="409">
        <f t="shared" si="9"/>
        <v>24.948</v>
      </c>
      <c r="J39" s="17">
        <f t="shared" si="10"/>
        <v>1471.9779999999998</v>
      </c>
      <c r="K39" s="52"/>
      <c r="L39" s="3"/>
      <c r="M39" s="13"/>
    </row>
    <row r="40" spans="1:13" s="20" customFormat="1" ht="20" customHeight="1" x14ac:dyDescent="0.45">
      <c r="A40" s="21" t="s">
        <v>204</v>
      </c>
      <c r="B40" s="22" t="s">
        <v>206</v>
      </c>
      <c r="C40" s="10"/>
      <c r="D40" s="17">
        <f t="shared" si="7"/>
        <v>65.453999999999994</v>
      </c>
      <c r="E40" s="17">
        <v>65.453999999999994</v>
      </c>
      <c r="F40" s="17"/>
      <c r="G40" s="14"/>
      <c r="H40" s="409">
        <f t="shared" si="16"/>
        <v>0</v>
      </c>
      <c r="I40" s="409">
        <f t="shared" si="9"/>
        <v>0</v>
      </c>
      <c r="J40" s="17">
        <f t="shared" si="10"/>
        <v>65.453999999999994</v>
      </c>
      <c r="K40" s="52"/>
    </row>
    <row r="41" spans="1:13" s="20" customFormat="1" ht="23" customHeight="1" x14ac:dyDescent="0.45">
      <c r="A41" s="8" t="s">
        <v>204</v>
      </c>
      <c r="B41" s="22" t="s">
        <v>216</v>
      </c>
      <c r="C41" s="10"/>
      <c r="D41" s="17">
        <f t="shared" si="7"/>
        <v>20</v>
      </c>
      <c r="E41" s="14"/>
      <c r="F41" s="14"/>
      <c r="G41" s="17">
        <v>20</v>
      </c>
      <c r="H41" s="409">
        <f t="shared" ref="H41:H44" si="17">(F41+G41)*10%</f>
        <v>2</v>
      </c>
      <c r="I41" s="409">
        <f t="shared" si="9"/>
        <v>1.8</v>
      </c>
      <c r="J41" s="17">
        <f t="shared" si="10"/>
        <v>16.2</v>
      </c>
      <c r="K41" s="52"/>
    </row>
    <row r="42" spans="1:13" s="20" customFormat="1" ht="41.35" customHeight="1" x14ac:dyDescent="0.45">
      <c r="A42" s="8" t="s">
        <v>204</v>
      </c>
      <c r="B42" s="22" t="s">
        <v>215</v>
      </c>
      <c r="C42" s="10"/>
      <c r="D42" s="17">
        <f t="shared" si="7"/>
        <v>10</v>
      </c>
      <c r="E42" s="14"/>
      <c r="F42" s="14"/>
      <c r="G42" s="17">
        <v>10</v>
      </c>
      <c r="H42" s="409">
        <f t="shared" si="17"/>
        <v>1</v>
      </c>
      <c r="I42" s="409">
        <f t="shared" si="9"/>
        <v>0.9</v>
      </c>
      <c r="J42" s="17">
        <f t="shared" si="10"/>
        <v>8.1</v>
      </c>
      <c r="K42" s="52"/>
    </row>
    <row r="43" spans="1:13" s="20" customFormat="1" ht="35.35" customHeight="1" x14ac:dyDescent="0.45">
      <c r="A43" s="8" t="s">
        <v>204</v>
      </c>
      <c r="B43" s="22" t="s">
        <v>347</v>
      </c>
      <c r="C43" s="10"/>
      <c r="D43" s="17">
        <f t="shared" si="7"/>
        <v>30</v>
      </c>
      <c r="E43" s="14"/>
      <c r="F43" s="14"/>
      <c r="G43" s="17">
        <v>30</v>
      </c>
      <c r="H43" s="409">
        <f t="shared" si="17"/>
        <v>3</v>
      </c>
      <c r="I43" s="409">
        <f t="shared" si="9"/>
        <v>2.7</v>
      </c>
      <c r="J43" s="17">
        <f t="shared" si="10"/>
        <v>24.3</v>
      </c>
      <c r="K43" s="52"/>
    </row>
    <row r="44" spans="1:13" s="20" customFormat="1" ht="29.45" customHeight="1" x14ac:dyDescent="0.45">
      <c r="A44" s="8" t="s">
        <v>204</v>
      </c>
      <c r="B44" s="22" t="s">
        <v>217</v>
      </c>
      <c r="C44" s="10"/>
      <c r="D44" s="17">
        <f t="shared" si="7"/>
        <v>10</v>
      </c>
      <c r="E44" s="14"/>
      <c r="F44" s="14"/>
      <c r="G44" s="17">
        <v>10</v>
      </c>
      <c r="H44" s="409">
        <f t="shared" si="17"/>
        <v>1</v>
      </c>
      <c r="I44" s="409">
        <f t="shared" si="9"/>
        <v>0.9</v>
      </c>
      <c r="J44" s="17">
        <f t="shared" si="10"/>
        <v>8.1</v>
      </c>
      <c r="K44" s="52"/>
    </row>
    <row r="45" spans="1:13" s="20" customFormat="1" ht="20" customHeight="1" x14ac:dyDescent="0.45">
      <c r="A45" s="8">
        <v>4</v>
      </c>
      <c r="B45" s="19" t="s">
        <v>218</v>
      </c>
      <c r="C45" s="10">
        <v>8</v>
      </c>
      <c r="D45" s="14">
        <f>SUM(D46:D56)</f>
        <v>2312.9090000000001</v>
      </c>
      <c r="E45" s="14">
        <f t="shared" ref="E45:J45" si="18">SUM(E46:E56)</f>
        <v>1456.1090000000002</v>
      </c>
      <c r="F45" s="14">
        <f t="shared" si="18"/>
        <v>316.8</v>
      </c>
      <c r="G45" s="14">
        <f t="shared" si="18"/>
        <v>540</v>
      </c>
      <c r="H45" s="14">
        <f t="shared" si="18"/>
        <v>85.68</v>
      </c>
      <c r="I45" s="14">
        <f t="shared" si="18"/>
        <v>77.112000000000009</v>
      </c>
      <c r="J45" s="14">
        <f t="shared" si="18"/>
        <v>2150.1170000000002</v>
      </c>
      <c r="K45" s="52"/>
    </row>
    <row r="46" spans="1:13" s="20" customFormat="1" ht="27.4" customHeight="1" x14ac:dyDescent="0.45">
      <c r="A46" s="8" t="s">
        <v>204</v>
      </c>
      <c r="B46" s="16" t="s">
        <v>205</v>
      </c>
      <c r="C46" s="10"/>
      <c r="D46" s="17">
        <f t="shared" si="7"/>
        <v>1709.027</v>
      </c>
      <c r="E46" s="17">
        <v>1392.2270000000001</v>
      </c>
      <c r="F46" s="17">
        <f>C45*33*1.2</f>
        <v>316.8</v>
      </c>
      <c r="G46" s="14"/>
      <c r="H46" s="409">
        <f t="shared" ref="H46:H47" si="19">(F46+G46)*10%</f>
        <v>31.680000000000003</v>
      </c>
      <c r="I46" s="409">
        <f t="shared" si="9"/>
        <v>28.512</v>
      </c>
      <c r="J46" s="17">
        <f t="shared" si="10"/>
        <v>1648.835</v>
      </c>
      <c r="K46" s="52"/>
    </row>
    <row r="47" spans="1:13" s="20" customFormat="1" ht="20" customHeight="1" x14ac:dyDescent="0.45">
      <c r="A47" s="8" t="s">
        <v>204</v>
      </c>
      <c r="B47" s="22" t="s">
        <v>206</v>
      </c>
      <c r="C47" s="10"/>
      <c r="D47" s="17">
        <f t="shared" si="7"/>
        <v>63.881999999999991</v>
      </c>
      <c r="E47" s="17">
        <v>63.881999999999991</v>
      </c>
      <c r="F47" s="17"/>
      <c r="G47" s="14"/>
      <c r="H47" s="409">
        <f t="shared" si="19"/>
        <v>0</v>
      </c>
      <c r="I47" s="409">
        <f t="shared" si="9"/>
        <v>0</v>
      </c>
      <c r="J47" s="17">
        <f t="shared" si="10"/>
        <v>63.881999999999991</v>
      </c>
      <c r="K47" s="52"/>
    </row>
    <row r="48" spans="1:13" s="20" customFormat="1" ht="19.149999999999999" customHeight="1" x14ac:dyDescent="0.45">
      <c r="A48" s="8" t="s">
        <v>204</v>
      </c>
      <c r="B48" s="22" t="s">
        <v>219</v>
      </c>
      <c r="C48" s="10"/>
      <c r="D48" s="17">
        <f t="shared" si="7"/>
        <v>10</v>
      </c>
      <c r="E48" s="14"/>
      <c r="F48" s="14"/>
      <c r="G48" s="17">
        <v>10</v>
      </c>
      <c r="H48" s="409">
        <f t="shared" ref="H48:H56" si="20">(F48+G48)*10%</f>
        <v>1</v>
      </c>
      <c r="I48" s="409">
        <f t="shared" si="9"/>
        <v>0.9</v>
      </c>
      <c r="J48" s="17">
        <f t="shared" si="10"/>
        <v>8.1</v>
      </c>
      <c r="K48" s="52"/>
    </row>
    <row r="49" spans="1:11" s="20" customFormat="1" ht="20" customHeight="1" x14ac:dyDescent="0.45">
      <c r="A49" s="8" t="s">
        <v>204</v>
      </c>
      <c r="B49" s="22" t="s">
        <v>220</v>
      </c>
      <c r="C49" s="10"/>
      <c r="D49" s="17">
        <f t="shared" si="7"/>
        <v>10</v>
      </c>
      <c r="E49" s="14"/>
      <c r="F49" s="14"/>
      <c r="G49" s="17">
        <v>10</v>
      </c>
      <c r="H49" s="409">
        <f t="shared" si="20"/>
        <v>1</v>
      </c>
      <c r="I49" s="409">
        <f t="shared" si="9"/>
        <v>0.9</v>
      </c>
      <c r="J49" s="17">
        <f t="shared" si="10"/>
        <v>8.1</v>
      </c>
      <c r="K49" s="52"/>
    </row>
    <row r="50" spans="1:11" s="20" customFormat="1" ht="20" customHeight="1" x14ac:dyDescent="0.45">
      <c r="A50" s="8" t="s">
        <v>204</v>
      </c>
      <c r="B50" s="22" t="s">
        <v>935</v>
      </c>
      <c r="C50" s="10"/>
      <c r="D50" s="17">
        <f t="shared" si="7"/>
        <v>30</v>
      </c>
      <c r="E50" s="14"/>
      <c r="F50" s="14"/>
      <c r="G50" s="17">
        <v>30</v>
      </c>
      <c r="H50" s="409">
        <f t="shared" si="20"/>
        <v>3</v>
      </c>
      <c r="I50" s="409">
        <f t="shared" si="9"/>
        <v>2.7</v>
      </c>
      <c r="J50" s="17">
        <f t="shared" si="10"/>
        <v>24.3</v>
      </c>
      <c r="K50" s="52"/>
    </row>
    <row r="51" spans="1:11" ht="38.450000000000003" customHeight="1" x14ac:dyDescent="0.45">
      <c r="A51" s="8" t="s">
        <v>204</v>
      </c>
      <c r="B51" s="22" t="s">
        <v>221</v>
      </c>
      <c r="C51" s="10"/>
      <c r="D51" s="17">
        <f t="shared" si="7"/>
        <v>20</v>
      </c>
      <c r="E51" s="17"/>
      <c r="F51" s="17"/>
      <c r="G51" s="17">
        <v>20</v>
      </c>
      <c r="H51" s="409">
        <f t="shared" si="20"/>
        <v>2</v>
      </c>
      <c r="I51" s="409">
        <f t="shared" si="9"/>
        <v>1.8</v>
      </c>
      <c r="J51" s="17">
        <f t="shared" si="10"/>
        <v>16.2</v>
      </c>
      <c r="K51" s="52"/>
    </row>
    <row r="52" spans="1:11" ht="55.5" customHeight="1" x14ac:dyDescent="0.45">
      <c r="A52" s="8" t="s">
        <v>204</v>
      </c>
      <c r="B52" s="18" t="s">
        <v>332</v>
      </c>
      <c r="C52" s="10"/>
      <c r="D52" s="17">
        <f t="shared" si="7"/>
        <v>20</v>
      </c>
      <c r="E52" s="14"/>
      <c r="F52" s="14"/>
      <c r="G52" s="17">
        <v>20</v>
      </c>
      <c r="H52" s="409">
        <f t="shared" si="20"/>
        <v>2</v>
      </c>
      <c r="I52" s="409">
        <f t="shared" si="9"/>
        <v>1.8</v>
      </c>
      <c r="J52" s="17">
        <f t="shared" si="10"/>
        <v>16.2</v>
      </c>
      <c r="K52" s="52"/>
    </row>
    <row r="53" spans="1:11" ht="55.5" customHeight="1" x14ac:dyDescent="0.45">
      <c r="A53" s="8" t="s">
        <v>204</v>
      </c>
      <c r="B53" s="18" t="s">
        <v>941</v>
      </c>
      <c r="C53" s="10"/>
      <c r="D53" s="17">
        <f t="shared" si="7"/>
        <v>30</v>
      </c>
      <c r="E53" s="14"/>
      <c r="F53" s="14"/>
      <c r="G53" s="17">
        <v>30</v>
      </c>
      <c r="H53" s="409">
        <f t="shared" si="20"/>
        <v>3</v>
      </c>
      <c r="I53" s="409">
        <f t="shared" si="9"/>
        <v>2.7</v>
      </c>
      <c r="J53" s="17">
        <f t="shared" si="10"/>
        <v>24.3</v>
      </c>
      <c r="K53" s="52"/>
    </row>
    <row r="54" spans="1:11" s="20" customFormat="1" ht="44.45" customHeight="1" x14ac:dyDescent="0.45">
      <c r="A54" s="8" t="s">
        <v>204</v>
      </c>
      <c r="B54" s="22" t="s">
        <v>222</v>
      </c>
      <c r="C54" s="10"/>
      <c r="D54" s="17">
        <f t="shared" si="7"/>
        <v>90</v>
      </c>
      <c r="E54" s="14"/>
      <c r="F54" s="14"/>
      <c r="G54" s="17">
        <v>90</v>
      </c>
      <c r="H54" s="409">
        <f t="shared" si="20"/>
        <v>9</v>
      </c>
      <c r="I54" s="409">
        <f t="shared" si="9"/>
        <v>8.1</v>
      </c>
      <c r="J54" s="17">
        <f t="shared" si="10"/>
        <v>72.900000000000006</v>
      </c>
      <c r="K54" s="52"/>
    </row>
    <row r="55" spans="1:11" s="20" customFormat="1" ht="44.45" customHeight="1" x14ac:dyDescent="0.45">
      <c r="A55" s="8" t="s">
        <v>204</v>
      </c>
      <c r="B55" s="22" t="s">
        <v>970</v>
      </c>
      <c r="C55" s="10"/>
      <c r="D55" s="17">
        <f t="shared" si="7"/>
        <v>300</v>
      </c>
      <c r="E55" s="14"/>
      <c r="F55" s="14"/>
      <c r="G55" s="17">
        <v>300</v>
      </c>
      <c r="H55" s="409">
        <f t="shared" si="20"/>
        <v>30</v>
      </c>
      <c r="I55" s="409">
        <f t="shared" si="9"/>
        <v>27</v>
      </c>
      <c r="J55" s="17">
        <f t="shared" si="10"/>
        <v>243</v>
      </c>
      <c r="K55" s="52"/>
    </row>
    <row r="56" spans="1:11" s="20" customFormat="1" ht="44.45" customHeight="1" x14ac:dyDescent="0.45">
      <c r="A56" s="8" t="s">
        <v>204</v>
      </c>
      <c r="B56" s="22" t="s">
        <v>991</v>
      </c>
      <c r="C56" s="10"/>
      <c r="D56" s="17">
        <f t="shared" si="7"/>
        <v>30</v>
      </c>
      <c r="E56" s="14"/>
      <c r="F56" s="14"/>
      <c r="G56" s="17">
        <v>30</v>
      </c>
      <c r="H56" s="409">
        <f t="shared" si="20"/>
        <v>3</v>
      </c>
      <c r="I56" s="409">
        <f t="shared" si="9"/>
        <v>2.7</v>
      </c>
      <c r="J56" s="17">
        <f t="shared" si="10"/>
        <v>24.3</v>
      </c>
      <c r="K56" s="52"/>
    </row>
    <row r="57" spans="1:11" s="20" customFormat="1" ht="33.5" customHeight="1" x14ac:dyDescent="0.45">
      <c r="A57" s="8">
        <v>5</v>
      </c>
      <c r="B57" s="19" t="s">
        <v>223</v>
      </c>
      <c r="C57" s="10">
        <v>6</v>
      </c>
      <c r="D57" s="14">
        <f>SUM(D58:D64)</f>
        <v>1451.1460000000002</v>
      </c>
      <c r="E57" s="14">
        <f t="shared" ref="E57:I57" si="21">SUM(E58:E64)</f>
        <v>1063.346</v>
      </c>
      <c r="F57" s="14">
        <f t="shared" si="21"/>
        <v>237.6</v>
      </c>
      <c r="G57" s="14">
        <f t="shared" si="21"/>
        <v>150.19999999999999</v>
      </c>
      <c r="H57" s="408">
        <f t="shared" si="21"/>
        <v>37.86</v>
      </c>
      <c r="I57" s="408">
        <f t="shared" si="21"/>
        <v>34.074000000000005</v>
      </c>
      <c r="J57" s="14">
        <f>SUM(J58:J64)</f>
        <v>1379.2120000000002</v>
      </c>
      <c r="K57" s="52"/>
    </row>
    <row r="58" spans="1:11" s="20" customFormat="1" ht="30" customHeight="1" x14ac:dyDescent="0.45">
      <c r="A58" s="8" t="s">
        <v>204</v>
      </c>
      <c r="B58" s="16" t="s">
        <v>205</v>
      </c>
      <c r="C58" s="10"/>
      <c r="D58" s="17">
        <f t="shared" si="7"/>
        <v>1255.0640000000001</v>
      </c>
      <c r="E58" s="17">
        <v>1017.4640000000001</v>
      </c>
      <c r="F58" s="17">
        <f>C57*33*1.2</f>
        <v>237.6</v>
      </c>
      <c r="G58" s="14"/>
      <c r="H58" s="409">
        <f t="shared" ref="H58:H59" si="22">(F58+G58)*10%</f>
        <v>23.76</v>
      </c>
      <c r="I58" s="409">
        <f t="shared" si="9"/>
        <v>21.384</v>
      </c>
      <c r="J58" s="17">
        <f t="shared" si="10"/>
        <v>1209.92</v>
      </c>
      <c r="K58" s="52"/>
    </row>
    <row r="59" spans="1:11" s="20" customFormat="1" ht="24.5" customHeight="1" x14ac:dyDescent="0.45">
      <c r="A59" s="8" t="s">
        <v>204</v>
      </c>
      <c r="B59" s="22" t="s">
        <v>206</v>
      </c>
      <c r="C59" s="10"/>
      <c r="D59" s="17">
        <f t="shared" si="7"/>
        <v>45.881999999999998</v>
      </c>
      <c r="E59" s="17">
        <v>45.881999999999998</v>
      </c>
      <c r="F59" s="17"/>
      <c r="G59" s="14"/>
      <c r="H59" s="409">
        <f t="shared" si="22"/>
        <v>0</v>
      </c>
      <c r="I59" s="409">
        <f t="shared" si="9"/>
        <v>0</v>
      </c>
      <c r="J59" s="17">
        <f t="shared" si="10"/>
        <v>45.881999999999998</v>
      </c>
      <c r="K59" s="52"/>
    </row>
    <row r="60" spans="1:11" s="20" customFormat="1" ht="24.5" customHeight="1" x14ac:dyDescent="0.45">
      <c r="A60" s="8" t="s">
        <v>204</v>
      </c>
      <c r="B60" s="22" t="s">
        <v>934</v>
      </c>
      <c r="C60" s="10"/>
      <c r="D60" s="17">
        <f t="shared" si="7"/>
        <v>21</v>
      </c>
      <c r="E60" s="17"/>
      <c r="F60" s="17"/>
      <c r="G60" s="17">
        <v>21</v>
      </c>
      <c r="H60" s="409">
        <f t="shared" ref="H60:H64" si="23">(F60+G60)*10%</f>
        <v>2.1</v>
      </c>
      <c r="I60" s="409">
        <f t="shared" si="9"/>
        <v>1.89</v>
      </c>
      <c r="J60" s="17">
        <f t="shared" si="10"/>
        <v>17.009999999999998</v>
      </c>
      <c r="K60" s="52"/>
    </row>
    <row r="61" spans="1:11" s="20" customFormat="1" ht="24" customHeight="1" x14ac:dyDescent="0.45">
      <c r="A61" s="8" t="s">
        <v>204</v>
      </c>
      <c r="B61" s="22" t="s">
        <v>382</v>
      </c>
      <c r="C61" s="10"/>
      <c r="D61" s="17">
        <f t="shared" si="7"/>
        <v>40</v>
      </c>
      <c r="E61" s="17"/>
      <c r="F61" s="17"/>
      <c r="G61" s="17">
        <v>40</v>
      </c>
      <c r="H61" s="409">
        <f t="shared" si="23"/>
        <v>4</v>
      </c>
      <c r="I61" s="409">
        <f t="shared" si="9"/>
        <v>3.6</v>
      </c>
      <c r="J61" s="17">
        <f t="shared" si="10"/>
        <v>32.4</v>
      </c>
      <c r="K61" s="52"/>
    </row>
    <row r="62" spans="1:11" s="20" customFormat="1" ht="24.5" customHeight="1" x14ac:dyDescent="0.45">
      <c r="A62" s="8" t="s">
        <v>204</v>
      </c>
      <c r="B62" s="22" t="s">
        <v>383</v>
      </c>
      <c r="C62" s="10"/>
      <c r="D62" s="17">
        <f t="shared" si="7"/>
        <v>20</v>
      </c>
      <c r="E62" s="17"/>
      <c r="F62" s="17"/>
      <c r="G62" s="17">
        <v>20</v>
      </c>
      <c r="H62" s="409">
        <f t="shared" si="23"/>
        <v>2</v>
      </c>
      <c r="I62" s="409">
        <f t="shared" si="9"/>
        <v>1.8</v>
      </c>
      <c r="J62" s="17">
        <f t="shared" si="10"/>
        <v>16.2</v>
      </c>
      <c r="K62" s="52"/>
    </row>
    <row r="63" spans="1:11" s="20" customFormat="1" ht="54" customHeight="1" x14ac:dyDescent="0.45">
      <c r="A63" s="8" t="s">
        <v>204</v>
      </c>
      <c r="B63" s="22" t="s">
        <v>107</v>
      </c>
      <c r="C63" s="10"/>
      <c r="D63" s="17">
        <f t="shared" si="7"/>
        <v>9.1999999999999993</v>
      </c>
      <c r="E63" s="14"/>
      <c r="F63" s="14"/>
      <c r="G63" s="17">
        <v>9.1999999999999993</v>
      </c>
      <c r="H63" s="409"/>
      <c r="I63" s="409"/>
      <c r="J63" s="17">
        <f t="shared" si="10"/>
        <v>9.1999999999999993</v>
      </c>
      <c r="K63" s="52"/>
    </row>
    <row r="64" spans="1:11" s="20" customFormat="1" ht="28.5" customHeight="1" x14ac:dyDescent="0.45">
      <c r="A64" s="8" t="s">
        <v>204</v>
      </c>
      <c r="B64" s="22" t="s">
        <v>939</v>
      </c>
      <c r="C64" s="10"/>
      <c r="D64" s="17">
        <f t="shared" si="7"/>
        <v>60</v>
      </c>
      <c r="E64" s="14"/>
      <c r="F64" s="14"/>
      <c r="G64" s="17">
        <v>60</v>
      </c>
      <c r="H64" s="409">
        <f t="shared" si="23"/>
        <v>6</v>
      </c>
      <c r="I64" s="409">
        <f t="shared" si="9"/>
        <v>5.4</v>
      </c>
      <c r="J64" s="17">
        <f t="shared" si="10"/>
        <v>48.6</v>
      </c>
      <c r="K64" s="52"/>
    </row>
    <row r="65" spans="1:11" s="20" customFormat="1" ht="20.45" customHeight="1" x14ac:dyDescent="0.45">
      <c r="A65" s="8" t="s">
        <v>166</v>
      </c>
      <c r="B65" s="9" t="s">
        <v>225</v>
      </c>
      <c r="C65" s="10">
        <v>24</v>
      </c>
      <c r="D65" s="14">
        <f>SUM(D66:D86)</f>
        <v>8856.884</v>
      </c>
      <c r="E65" s="14">
        <f t="shared" ref="E65:J65" si="24">SUM(E66:E86)</f>
        <v>5457.4079999999994</v>
      </c>
      <c r="F65" s="14">
        <f t="shared" si="24"/>
        <v>2179.3760000000002</v>
      </c>
      <c r="G65" s="14">
        <f t="shared" si="24"/>
        <v>1220.0999999999999</v>
      </c>
      <c r="H65" s="408">
        <f t="shared" si="24"/>
        <v>284.73</v>
      </c>
      <c r="I65" s="408">
        <f t="shared" si="24"/>
        <v>256.25700000000006</v>
      </c>
      <c r="J65" s="14">
        <f t="shared" si="24"/>
        <v>8315.8969999999972</v>
      </c>
      <c r="K65" s="52"/>
    </row>
    <row r="66" spans="1:11" s="20" customFormat="1" ht="31.25" customHeight="1" x14ac:dyDescent="0.45">
      <c r="A66" s="8" t="s">
        <v>204</v>
      </c>
      <c r="B66" s="16" t="s">
        <v>205</v>
      </c>
      <c r="C66" s="10"/>
      <c r="D66" s="17">
        <f t="shared" si="7"/>
        <v>6482.1939999999995</v>
      </c>
      <c r="E66" s="17">
        <v>5214.9939999999997</v>
      </c>
      <c r="F66" s="17">
        <f>C65*33*1.6</f>
        <v>1267.2</v>
      </c>
      <c r="G66" s="14"/>
      <c r="H66" s="409">
        <f t="shared" ref="H66:H85" si="25">(F66+G66)*10%</f>
        <v>126.72000000000001</v>
      </c>
      <c r="I66" s="409">
        <f>(F66+G66-H66)*10%</f>
        <v>114.048</v>
      </c>
      <c r="J66" s="17">
        <f t="shared" si="10"/>
        <v>6241.4259999999995</v>
      </c>
      <c r="K66" s="52"/>
    </row>
    <row r="67" spans="1:11" s="20" customFormat="1" ht="20.45" customHeight="1" x14ac:dyDescent="0.45">
      <c r="A67" s="8" t="s">
        <v>204</v>
      </c>
      <c r="B67" s="18" t="s">
        <v>226</v>
      </c>
      <c r="C67" s="10"/>
      <c r="D67" s="17">
        <f t="shared" si="7"/>
        <v>242.41399999999999</v>
      </c>
      <c r="E67" s="17">
        <v>242.41399999999999</v>
      </c>
      <c r="F67" s="17"/>
      <c r="G67" s="14"/>
      <c r="H67" s="409">
        <f t="shared" si="25"/>
        <v>0</v>
      </c>
      <c r="I67" s="409">
        <f t="shared" si="9"/>
        <v>0</v>
      </c>
      <c r="J67" s="17">
        <f t="shared" si="10"/>
        <v>242.41399999999999</v>
      </c>
      <c r="K67" s="52"/>
    </row>
    <row r="68" spans="1:11" s="20" customFormat="1" ht="48" customHeight="1" x14ac:dyDescent="0.45">
      <c r="A68" s="8" t="s">
        <v>204</v>
      </c>
      <c r="B68" s="18" t="s">
        <v>963</v>
      </c>
      <c r="C68" s="10"/>
      <c r="D68" s="17">
        <f t="shared" si="7"/>
        <v>310</v>
      </c>
      <c r="E68" s="14"/>
      <c r="F68" s="17">
        <v>310</v>
      </c>
      <c r="G68" s="17"/>
      <c r="H68" s="409"/>
      <c r="I68" s="409"/>
      <c r="J68" s="17">
        <f t="shared" si="10"/>
        <v>310</v>
      </c>
      <c r="K68" s="52"/>
    </row>
    <row r="69" spans="1:11" s="20" customFormat="1" ht="20.75" customHeight="1" x14ac:dyDescent="0.45">
      <c r="A69" s="8" t="s">
        <v>204</v>
      </c>
      <c r="B69" s="18" t="s">
        <v>224</v>
      </c>
      <c r="C69" s="10"/>
      <c r="D69" s="17">
        <f t="shared" si="7"/>
        <v>35.099999999999994</v>
      </c>
      <c r="E69" s="14"/>
      <c r="F69" s="14"/>
      <c r="G69" s="17">
        <f>15*2.34</f>
        <v>35.099999999999994</v>
      </c>
      <c r="H69" s="409">
        <f t="shared" ref="H69" si="26">(F69+G69)*10%</f>
        <v>3.51</v>
      </c>
      <c r="I69" s="409">
        <f t="shared" ref="I69" si="27">(F69+G69-H69)*10%</f>
        <v>3.1589999999999998</v>
      </c>
      <c r="J69" s="17">
        <f t="shared" si="10"/>
        <v>28.430999999999997</v>
      </c>
      <c r="K69" s="52"/>
    </row>
    <row r="70" spans="1:11" s="20" customFormat="1" ht="19.899999999999999" customHeight="1" x14ac:dyDescent="0.45">
      <c r="A70" s="8" t="s">
        <v>204</v>
      </c>
      <c r="B70" s="18" t="s">
        <v>227</v>
      </c>
      <c r="C70" s="10"/>
      <c r="D70" s="17">
        <f t="shared" si="7"/>
        <v>220</v>
      </c>
      <c r="E70" s="14"/>
      <c r="F70" s="17">
        <v>220</v>
      </c>
      <c r="G70" s="17"/>
      <c r="H70" s="409">
        <f t="shared" si="25"/>
        <v>22</v>
      </c>
      <c r="I70" s="409">
        <f t="shared" si="9"/>
        <v>19.8</v>
      </c>
      <c r="J70" s="17">
        <f t="shared" si="10"/>
        <v>178.2</v>
      </c>
      <c r="K70" s="52"/>
    </row>
    <row r="71" spans="1:11" s="20" customFormat="1" ht="20.25" customHeight="1" x14ac:dyDescent="0.45">
      <c r="A71" s="8" t="s">
        <v>204</v>
      </c>
      <c r="B71" s="18" t="s">
        <v>959</v>
      </c>
      <c r="C71" s="10"/>
      <c r="D71" s="17">
        <f t="shared" si="7"/>
        <v>180</v>
      </c>
      <c r="E71" s="14"/>
      <c r="F71" s="17">
        <v>180</v>
      </c>
      <c r="G71" s="17"/>
      <c r="H71" s="409">
        <f t="shared" si="25"/>
        <v>18</v>
      </c>
      <c r="I71" s="409">
        <f t="shared" si="9"/>
        <v>16.2</v>
      </c>
      <c r="J71" s="17">
        <f t="shared" si="10"/>
        <v>145.80000000000001</v>
      </c>
      <c r="K71" s="52"/>
    </row>
    <row r="72" spans="1:11" s="20" customFormat="1" ht="20.45" customHeight="1" x14ac:dyDescent="0.45">
      <c r="A72" s="8" t="s">
        <v>204</v>
      </c>
      <c r="B72" s="18" t="s">
        <v>348</v>
      </c>
      <c r="C72" s="10"/>
      <c r="D72" s="17">
        <f t="shared" si="7"/>
        <v>202.17599999999999</v>
      </c>
      <c r="E72" s="14"/>
      <c r="F72" s="17">
        <v>202.17599999999999</v>
      </c>
      <c r="G72" s="17"/>
      <c r="H72" s="409"/>
      <c r="I72" s="409"/>
      <c r="J72" s="17">
        <f t="shared" si="10"/>
        <v>202.17599999999999</v>
      </c>
      <c r="K72" s="52"/>
    </row>
    <row r="73" spans="1:11" s="20" customFormat="1" ht="19.149999999999999" customHeight="1" x14ac:dyDescent="0.45">
      <c r="A73" s="8" t="s">
        <v>204</v>
      </c>
      <c r="B73" s="18" t="s">
        <v>228</v>
      </c>
      <c r="C73" s="10"/>
      <c r="D73" s="17">
        <f t="shared" si="7"/>
        <v>100</v>
      </c>
      <c r="E73" s="14"/>
      <c r="F73" s="14"/>
      <c r="G73" s="17">
        <v>100</v>
      </c>
      <c r="H73" s="409">
        <f t="shared" si="25"/>
        <v>10</v>
      </c>
      <c r="I73" s="409">
        <f t="shared" si="9"/>
        <v>9</v>
      </c>
      <c r="J73" s="17">
        <f t="shared" si="10"/>
        <v>81</v>
      </c>
      <c r="K73" s="52"/>
    </row>
    <row r="74" spans="1:11" s="20" customFormat="1" ht="39.5" customHeight="1" x14ac:dyDescent="0.45">
      <c r="A74" s="8" t="s">
        <v>204</v>
      </c>
      <c r="B74" s="18" t="s">
        <v>229</v>
      </c>
      <c r="C74" s="10"/>
      <c r="D74" s="17">
        <f t="shared" si="7"/>
        <v>140</v>
      </c>
      <c r="E74" s="14"/>
      <c r="F74" s="14"/>
      <c r="G74" s="17">
        <v>140</v>
      </c>
      <c r="H74" s="409">
        <f t="shared" si="25"/>
        <v>14</v>
      </c>
      <c r="I74" s="409">
        <f t="shared" si="9"/>
        <v>12.600000000000001</v>
      </c>
      <c r="J74" s="17">
        <f t="shared" si="10"/>
        <v>113.4</v>
      </c>
      <c r="K74" s="52"/>
    </row>
    <row r="75" spans="1:11" s="20" customFormat="1" ht="30.95" customHeight="1" x14ac:dyDescent="0.45">
      <c r="A75" s="8" t="s">
        <v>204</v>
      </c>
      <c r="B75" s="18" t="s">
        <v>230</v>
      </c>
      <c r="C75" s="10"/>
      <c r="D75" s="17">
        <f t="shared" si="7"/>
        <v>20</v>
      </c>
      <c r="E75" s="14"/>
      <c r="F75" s="14"/>
      <c r="G75" s="17">
        <v>20</v>
      </c>
      <c r="H75" s="409">
        <f t="shared" si="25"/>
        <v>2</v>
      </c>
      <c r="I75" s="409">
        <f t="shared" si="9"/>
        <v>1.8</v>
      </c>
      <c r="J75" s="17">
        <f t="shared" si="10"/>
        <v>16.2</v>
      </c>
      <c r="K75" s="52"/>
    </row>
    <row r="76" spans="1:11" s="20" customFormat="1" ht="30.95" customHeight="1" x14ac:dyDescent="0.45">
      <c r="A76" s="8" t="s">
        <v>204</v>
      </c>
      <c r="B76" s="18" t="s">
        <v>944</v>
      </c>
      <c r="C76" s="10"/>
      <c r="D76" s="17">
        <f t="shared" si="7"/>
        <v>50</v>
      </c>
      <c r="E76" s="14"/>
      <c r="F76" s="14"/>
      <c r="G76" s="17">
        <v>50</v>
      </c>
      <c r="H76" s="409">
        <f t="shared" si="25"/>
        <v>5</v>
      </c>
      <c r="I76" s="409">
        <f t="shared" si="9"/>
        <v>4.5</v>
      </c>
      <c r="J76" s="17">
        <f t="shared" si="10"/>
        <v>40.5</v>
      </c>
      <c r="K76" s="52"/>
    </row>
    <row r="77" spans="1:11" s="20" customFormat="1" ht="30.95" customHeight="1" x14ac:dyDescent="0.45">
      <c r="A77" s="15" t="s">
        <v>204</v>
      </c>
      <c r="B77" s="18" t="s">
        <v>945</v>
      </c>
      <c r="C77" s="10"/>
      <c r="D77" s="17">
        <f t="shared" si="7"/>
        <v>50</v>
      </c>
      <c r="E77" s="14"/>
      <c r="F77" s="14"/>
      <c r="G77" s="17">
        <v>50</v>
      </c>
      <c r="H77" s="409">
        <f t="shared" si="25"/>
        <v>5</v>
      </c>
      <c r="I77" s="409">
        <f t="shared" si="9"/>
        <v>4.5</v>
      </c>
      <c r="J77" s="17">
        <f t="shared" si="10"/>
        <v>40.5</v>
      </c>
      <c r="K77" s="52"/>
    </row>
    <row r="78" spans="1:11" s="20" customFormat="1" ht="30.95" customHeight="1" x14ac:dyDescent="0.45">
      <c r="A78" s="15" t="s">
        <v>204</v>
      </c>
      <c r="B78" s="18" t="s">
        <v>946</v>
      </c>
      <c r="C78" s="10"/>
      <c r="D78" s="17">
        <f t="shared" si="7"/>
        <v>40</v>
      </c>
      <c r="E78" s="14"/>
      <c r="F78" s="14"/>
      <c r="G78" s="17">
        <v>40</v>
      </c>
      <c r="H78" s="409">
        <f t="shared" si="25"/>
        <v>4</v>
      </c>
      <c r="I78" s="409">
        <f t="shared" si="9"/>
        <v>3.6</v>
      </c>
      <c r="J78" s="17">
        <f t="shared" si="10"/>
        <v>32.4</v>
      </c>
      <c r="K78" s="52"/>
    </row>
    <row r="79" spans="1:11" s="20" customFormat="1" ht="20.45" customHeight="1" x14ac:dyDescent="0.45">
      <c r="A79" s="8" t="s">
        <v>204</v>
      </c>
      <c r="B79" s="18" t="s">
        <v>231</v>
      </c>
      <c r="C79" s="10"/>
      <c r="D79" s="17">
        <f t="shared" si="7"/>
        <v>120</v>
      </c>
      <c r="E79" s="14"/>
      <c r="F79" s="14"/>
      <c r="G79" s="17">
        <v>120</v>
      </c>
      <c r="H79" s="409">
        <f t="shared" si="25"/>
        <v>12</v>
      </c>
      <c r="I79" s="409">
        <f t="shared" ref="I79:I85" si="28">(F79+G79-H79)*10%</f>
        <v>10.8</v>
      </c>
      <c r="J79" s="17">
        <f t="shared" ref="J79:J86" si="29">D79-H79-I79</f>
        <v>97.2</v>
      </c>
      <c r="K79" s="52"/>
    </row>
    <row r="80" spans="1:11" s="20" customFormat="1" ht="20.45" customHeight="1" x14ac:dyDescent="0.45">
      <c r="A80" s="8" t="s">
        <v>204</v>
      </c>
      <c r="B80" s="18" t="s">
        <v>232</v>
      </c>
      <c r="C80" s="10"/>
      <c r="D80" s="17">
        <f t="shared" si="7"/>
        <v>160</v>
      </c>
      <c r="E80" s="14"/>
      <c r="F80" s="14"/>
      <c r="G80" s="17">
        <v>160</v>
      </c>
      <c r="H80" s="409">
        <f t="shared" si="25"/>
        <v>16</v>
      </c>
      <c r="I80" s="409">
        <f t="shared" si="28"/>
        <v>14.4</v>
      </c>
      <c r="J80" s="17">
        <f t="shared" si="29"/>
        <v>129.6</v>
      </c>
      <c r="K80" s="52"/>
    </row>
    <row r="81" spans="1:16" s="20" customFormat="1" ht="22.5" customHeight="1" x14ac:dyDescent="0.45">
      <c r="A81" s="8" t="s">
        <v>204</v>
      </c>
      <c r="B81" s="18" t="s">
        <v>233</v>
      </c>
      <c r="C81" s="10"/>
      <c r="D81" s="17">
        <f t="shared" si="7"/>
        <v>40</v>
      </c>
      <c r="E81" s="14"/>
      <c r="F81" s="14"/>
      <c r="G81" s="17">
        <v>40</v>
      </c>
      <c r="H81" s="409"/>
      <c r="I81" s="409"/>
      <c r="J81" s="17">
        <f t="shared" si="29"/>
        <v>40</v>
      </c>
      <c r="K81" s="52"/>
    </row>
    <row r="82" spans="1:16" s="20" customFormat="1" ht="22.5" customHeight="1" x14ac:dyDescent="0.45">
      <c r="A82" s="8" t="s">
        <v>204</v>
      </c>
      <c r="B82" s="18" t="s">
        <v>947</v>
      </c>
      <c r="C82" s="10"/>
      <c r="D82" s="17">
        <f t="shared" si="7"/>
        <v>170</v>
      </c>
      <c r="E82" s="14"/>
      <c r="F82" s="14"/>
      <c r="G82" s="17">
        <v>170</v>
      </c>
      <c r="H82" s="409">
        <f t="shared" si="25"/>
        <v>17</v>
      </c>
      <c r="I82" s="409">
        <f t="shared" si="28"/>
        <v>15.3</v>
      </c>
      <c r="J82" s="17">
        <f t="shared" si="29"/>
        <v>137.69999999999999</v>
      </c>
      <c r="K82" s="52"/>
    </row>
    <row r="83" spans="1:16" s="20" customFormat="1" ht="22.5" customHeight="1" x14ac:dyDescent="0.45">
      <c r="A83" s="8" t="s">
        <v>204</v>
      </c>
      <c r="B83" s="18" t="s">
        <v>234</v>
      </c>
      <c r="C83" s="10"/>
      <c r="D83" s="17">
        <f t="shared" si="7"/>
        <v>20</v>
      </c>
      <c r="E83" s="14"/>
      <c r="F83" s="14"/>
      <c r="G83" s="17">
        <v>20</v>
      </c>
      <c r="H83" s="409">
        <f t="shared" si="25"/>
        <v>2</v>
      </c>
      <c r="I83" s="409">
        <f t="shared" si="28"/>
        <v>1.8</v>
      </c>
      <c r="J83" s="17">
        <f t="shared" si="29"/>
        <v>16.2</v>
      </c>
      <c r="K83" s="52"/>
    </row>
    <row r="84" spans="1:16" s="20" customFormat="1" ht="22.5" customHeight="1" x14ac:dyDescent="0.45">
      <c r="A84" s="8" t="s">
        <v>204</v>
      </c>
      <c r="B84" s="18" t="s">
        <v>358</v>
      </c>
      <c r="C84" s="10"/>
      <c r="D84" s="17">
        <f t="shared" si="7"/>
        <v>50</v>
      </c>
      <c r="E84" s="14"/>
      <c r="F84" s="14"/>
      <c r="G84" s="17">
        <v>50</v>
      </c>
      <c r="H84" s="409">
        <f t="shared" si="25"/>
        <v>5</v>
      </c>
      <c r="I84" s="409">
        <f t="shared" si="28"/>
        <v>4.5</v>
      </c>
      <c r="J84" s="17">
        <f t="shared" si="29"/>
        <v>40.5</v>
      </c>
      <c r="K84" s="52"/>
    </row>
    <row r="85" spans="1:16" s="20" customFormat="1" ht="22.5" customHeight="1" x14ac:dyDescent="0.45">
      <c r="A85" s="8" t="s">
        <v>204</v>
      </c>
      <c r="B85" s="18" t="s">
        <v>987</v>
      </c>
      <c r="C85" s="10"/>
      <c r="D85" s="17">
        <f t="shared" si="7"/>
        <v>25</v>
      </c>
      <c r="E85" s="14"/>
      <c r="F85" s="14"/>
      <c r="G85" s="17">
        <v>25</v>
      </c>
      <c r="H85" s="409">
        <f t="shared" si="25"/>
        <v>2.5</v>
      </c>
      <c r="I85" s="409">
        <f t="shared" si="28"/>
        <v>2.25</v>
      </c>
      <c r="J85" s="17">
        <f t="shared" si="29"/>
        <v>20.25</v>
      </c>
      <c r="K85" s="52"/>
    </row>
    <row r="86" spans="1:16" s="20" customFormat="1" ht="28.5" customHeight="1" x14ac:dyDescent="0.45">
      <c r="A86" s="8" t="s">
        <v>204</v>
      </c>
      <c r="B86" s="18" t="s">
        <v>349</v>
      </c>
      <c r="C86" s="10"/>
      <c r="D86" s="17">
        <f t="shared" si="7"/>
        <v>200</v>
      </c>
      <c r="E86" s="14"/>
      <c r="F86" s="14"/>
      <c r="G86" s="17">
        <v>200</v>
      </c>
      <c r="H86" s="409">
        <f t="shared" ref="H86" si="30">(F86+G86)*10%</f>
        <v>20</v>
      </c>
      <c r="I86" s="409">
        <f t="shared" ref="I86" si="31">(F86+G86-H86)*10%</f>
        <v>18</v>
      </c>
      <c r="J86" s="17">
        <f t="shared" si="29"/>
        <v>162</v>
      </c>
      <c r="K86" s="52"/>
    </row>
    <row r="87" spans="1:16" s="20" customFormat="1" ht="37.9" customHeight="1" x14ac:dyDescent="0.45">
      <c r="A87" s="8" t="s">
        <v>184</v>
      </c>
      <c r="B87" s="9" t="s">
        <v>235</v>
      </c>
      <c r="C87" s="10">
        <v>15</v>
      </c>
      <c r="D87" s="11">
        <f t="shared" ref="D87:J87" si="32">D88+D103+D109+D113+D119</f>
        <v>3261.2739999999999</v>
      </c>
      <c r="E87" s="11">
        <f t="shared" si="32"/>
        <v>1863.7739999999999</v>
      </c>
      <c r="F87" s="11">
        <f t="shared" si="32"/>
        <v>528</v>
      </c>
      <c r="G87" s="11">
        <f t="shared" si="32"/>
        <v>869.5</v>
      </c>
      <c r="H87" s="23">
        <f t="shared" si="32"/>
        <v>127</v>
      </c>
      <c r="I87" s="23">
        <f t="shared" ref="I87" si="33">I88+I103+I109+I113+I119</f>
        <v>114.29999999999997</v>
      </c>
      <c r="J87" s="11">
        <f t="shared" si="32"/>
        <v>3019.9739999999979</v>
      </c>
      <c r="K87" s="52"/>
    </row>
    <row r="88" spans="1:16" s="20" customFormat="1" ht="21" customHeight="1" x14ac:dyDescent="0.45">
      <c r="A88" s="24" t="s">
        <v>236</v>
      </c>
      <c r="B88" s="9" t="s">
        <v>237</v>
      </c>
      <c r="C88" s="10">
        <v>10</v>
      </c>
      <c r="D88" s="14">
        <f t="shared" ref="D88:H88" si="34">SUM(D89:D102)</f>
        <v>2739.2739999999999</v>
      </c>
      <c r="E88" s="14">
        <f t="shared" si="34"/>
        <v>1863.7739999999999</v>
      </c>
      <c r="F88" s="14">
        <f t="shared" si="34"/>
        <v>396</v>
      </c>
      <c r="G88" s="14">
        <f t="shared" si="34"/>
        <v>479.5</v>
      </c>
      <c r="H88" s="408">
        <f t="shared" si="34"/>
        <v>74.800000000000011</v>
      </c>
      <c r="I88" s="408">
        <f t="shared" ref="I88" si="35">SUM(I89:I102)</f>
        <v>67.319999999999979</v>
      </c>
      <c r="J88" s="14">
        <f>SUM(J89:J102)</f>
        <v>2597.1539999999982</v>
      </c>
      <c r="K88" s="52"/>
    </row>
    <row r="89" spans="1:16" s="20" customFormat="1" ht="28.9" customHeight="1" x14ac:dyDescent="0.45">
      <c r="A89" s="24" t="s">
        <v>204</v>
      </c>
      <c r="B89" s="16" t="s">
        <v>205</v>
      </c>
      <c r="C89" s="10"/>
      <c r="D89" s="17">
        <f t="shared" ref="D89:D96" si="36">SUM(E89:G89)</f>
        <v>2171.828</v>
      </c>
      <c r="E89" s="17">
        <v>1775.828</v>
      </c>
      <c r="F89" s="17">
        <f>C88*33*1.2</f>
        <v>396</v>
      </c>
      <c r="G89" s="14"/>
      <c r="H89" s="409">
        <f t="shared" ref="H89:H102" si="37">(F89+G89)*10%</f>
        <v>39.6</v>
      </c>
      <c r="I89" s="409">
        <f t="shared" ref="I89:I125" si="38">(F89+G89-H89)*10%</f>
        <v>35.64</v>
      </c>
      <c r="J89" s="17">
        <f t="shared" ref="J89:J125" si="39">D89-H89-I89</f>
        <v>2096.5880000000002</v>
      </c>
      <c r="K89" s="52"/>
    </row>
    <row r="90" spans="1:16" s="20" customFormat="1" ht="19.899999999999999" customHeight="1" x14ac:dyDescent="0.45">
      <c r="A90" s="24" t="s">
        <v>204</v>
      </c>
      <c r="B90" s="18" t="s">
        <v>206</v>
      </c>
      <c r="C90" s="10"/>
      <c r="D90" s="17">
        <f t="shared" si="36"/>
        <v>87.945999999999998</v>
      </c>
      <c r="E90" s="17">
        <v>87.945999999999998</v>
      </c>
      <c r="F90" s="17"/>
      <c r="G90" s="14"/>
      <c r="H90" s="409">
        <f t="shared" si="37"/>
        <v>0</v>
      </c>
      <c r="I90" s="409">
        <f t="shared" si="38"/>
        <v>0</v>
      </c>
      <c r="J90" s="17">
        <f t="shared" si="39"/>
        <v>87.945999999999998</v>
      </c>
      <c r="K90" s="52"/>
    </row>
    <row r="91" spans="1:16" s="20" customFormat="1" ht="25.5" customHeight="1" x14ac:dyDescent="0.45">
      <c r="A91" s="24" t="s">
        <v>204</v>
      </c>
      <c r="B91" s="18" t="s">
        <v>238</v>
      </c>
      <c r="C91" s="10"/>
      <c r="D91" s="17">
        <f t="shared" si="36"/>
        <v>20</v>
      </c>
      <c r="E91" s="14"/>
      <c r="F91" s="14"/>
      <c r="G91" s="17">
        <v>20</v>
      </c>
      <c r="H91" s="409">
        <f t="shared" si="37"/>
        <v>2</v>
      </c>
      <c r="I91" s="409">
        <f t="shared" si="38"/>
        <v>1.8</v>
      </c>
      <c r="J91" s="17">
        <f t="shared" si="39"/>
        <v>16.2</v>
      </c>
      <c r="K91" s="52"/>
    </row>
    <row r="92" spans="1:16" s="20" customFormat="1" ht="28.5" customHeight="1" x14ac:dyDescent="0.45">
      <c r="A92" s="24" t="s">
        <v>204</v>
      </c>
      <c r="B92" s="18" t="s">
        <v>338</v>
      </c>
      <c r="C92" s="10"/>
      <c r="D92" s="17">
        <f t="shared" si="36"/>
        <v>127.5</v>
      </c>
      <c r="E92" s="14"/>
      <c r="F92" s="14"/>
      <c r="G92" s="17">
        <v>127.5</v>
      </c>
      <c r="H92" s="409"/>
      <c r="I92" s="409"/>
      <c r="J92" s="17">
        <f t="shared" si="39"/>
        <v>127.5</v>
      </c>
      <c r="K92" s="52"/>
      <c r="M92" s="180"/>
      <c r="P92" s="180"/>
    </row>
    <row r="93" spans="1:16" s="20" customFormat="1" ht="29" customHeight="1" x14ac:dyDescent="0.45">
      <c r="A93" s="24" t="s">
        <v>204</v>
      </c>
      <c r="B93" s="18" t="s">
        <v>351</v>
      </c>
      <c r="C93" s="10"/>
      <c r="D93" s="17">
        <f t="shared" si="36"/>
        <v>20</v>
      </c>
      <c r="E93" s="14"/>
      <c r="F93" s="14"/>
      <c r="G93" s="17">
        <v>20</v>
      </c>
      <c r="H93" s="409">
        <f t="shared" si="37"/>
        <v>2</v>
      </c>
      <c r="I93" s="409">
        <f t="shared" si="38"/>
        <v>1.8</v>
      </c>
      <c r="J93" s="17">
        <f t="shared" si="39"/>
        <v>16.2</v>
      </c>
      <c r="K93" s="52"/>
    </row>
    <row r="94" spans="1:16" s="20" customFormat="1" ht="29" customHeight="1" x14ac:dyDescent="0.45">
      <c r="A94" s="24" t="s">
        <v>204</v>
      </c>
      <c r="B94" s="18" t="s">
        <v>353</v>
      </c>
      <c r="C94" s="10"/>
      <c r="D94" s="17">
        <f t="shared" si="36"/>
        <v>20</v>
      </c>
      <c r="E94" s="14"/>
      <c r="F94" s="14"/>
      <c r="G94" s="17">
        <v>20</v>
      </c>
      <c r="H94" s="409">
        <f t="shared" si="37"/>
        <v>2</v>
      </c>
      <c r="I94" s="409">
        <f t="shared" si="38"/>
        <v>1.8</v>
      </c>
      <c r="J94" s="17">
        <f t="shared" si="39"/>
        <v>16.2</v>
      </c>
      <c r="K94" s="52"/>
    </row>
    <row r="95" spans="1:16" s="20" customFormat="1" ht="29" customHeight="1" x14ac:dyDescent="0.45">
      <c r="A95" s="24" t="s">
        <v>204</v>
      </c>
      <c r="B95" s="18" t="s">
        <v>354</v>
      </c>
      <c r="C95" s="10"/>
      <c r="D95" s="17">
        <f t="shared" si="36"/>
        <v>20</v>
      </c>
      <c r="E95" s="14"/>
      <c r="F95" s="14"/>
      <c r="G95" s="17">
        <v>20</v>
      </c>
      <c r="H95" s="409">
        <f t="shared" si="37"/>
        <v>2</v>
      </c>
      <c r="I95" s="409">
        <f t="shared" si="38"/>
        <v>1.8</v>
      </c>
      <c r="J95" s="17">
        <f t="shared" si="39"/>
        <v>16.2</v>
      </c>
      <c r="K95" s="52"/>
    </row>
    <row r="96" spans="1:16" s="20" customFormat="1" ht="29" customHeight="1" x14ac:dyDescent="0.45">
      <c r="A96" s="24" t="s">
        <v>204</v>
      </c>
      <c r="B96" s="18" t="s">
        <v>350</v>
      </c>
      <c r="C96" s="10"/>
      <c r="D96" s="17">
        <f t="shared" si="36"/>
        <v>102</v>
      </c>
      <c r="E96" s="14"/>
      <c r="F96" s="14"/>
      <c r="G96" s="17">
        <v>102</v>
      </c>
      <c r="H96" s="409">
        <f t="shared" si="37"/>
        <v>10.200000000000001</v>
      </c>
      <c r="I96" s="409">
        <f t="shared" si="38"/>
        <v>9.18</v>
      </c>
      <c r="J96" s="17">
        <f t="shared" si="39"/>
        <v>82.62</v>
      </c>
      <c r="K96" s="52"/>
    </row>
    <row r="97" spans="1:11" s="20" customFormat="1" ht="20.65" customHeight="1" x14ac:dyDescent="0.45">
      <c r="A97" s="24" t="s">
        <v>204</v>
      </c>
      <c r="B97" s="18" t="s">
        <v>239</v>
      </c>
      <c r="C97" s="10"/>
      <c r="D97" s="17">
        <f>SUM(E97:G97)</f>
        <v>20</v>
      </c>
      <c r="E97" s="14"/>
      <c r="F97" s="14"/>
      <c r="G97" s="17">
        <v>20</v>
      </c>
      <c r="H97" s="409">
        <f t="shared" si="37"/>
        <v>2</v>
      </c>
      <c r="I97" s="409">
        <f t="shared" si="38"/>
        <v>1.8</v>
      </c>
      <c r="J97" s="17">
        <f t="shared" si="39"/>
        <v>16.2</v>
      </c>
      <c r="K97" s="52"/>
    </row>
    <row r="98" spans="1:11" s="20" customFormat="1" ht="20.65" customHeight="1" x14ac:dyDescent="0.45">
      <c r="A98" s="24" t="s">
        <v>204</v>
      </c>
      <c r="B98" s="18" t="s">
        <v>952</v>
      </c>
      <c r="C98" s="10"/>
      <c r="D98" s="17">
        <f t="shared" ref="D98:D102" si="40">SUM(E98:G98)</f>
        <v>20</v>
      </c>
      <c r="E98" s="14"/>
      <c r="F98" s="14"/>
      <c r="G98" s="17">
        <v>20</v>
      </c>
      <c r="H98" s="409">
        <f t="shared" si="37"/>
        <v>2</v>
      </c>
      <c r="I98" s="409">
        <f t="shared" si="38"/>
        <v>1.8</v>
      </c>
      <c r="J98" s="17">
        <f t="shared" si="39"/>
        <v>16.2</v>
      </c>
      <c r="K98" s="52"/>
    </row>
    <row r="99" spans="1:11" s="20" customFormat="1" ht="20.65" customHeight="1" x14ac:dyDescent="0.45">
      <c r="A99" s="24" t="s">
        <v>204</v>
      </c>
      <c r="B99" s="18" t="s">
        <v>968</v>
      </c>
      <c r="C99" s="10"/>
      <c r="D99" s="17">
        <f t="shared" si="40"/>
        <v>20</v>
      </c>
      <c r="E99" s="14"/>
      <c r="F99" s="14"/>
      <c r="G99" s="17">
        <v>20</v>
      </c>
      <c r="H99" s="409">
        <f t="shared" si="37"/>
        <v>2</v>
      </c>
      <c r="I99" s="409">
        <f t="shared" si="38"/>
        <v>1.8</v>
      </c>
      <c r="J99" s="17">
        <f t="shared" si="39"/>
        <v>16.2</v>
      </c>
      <c r="K99" s="52"/>
    </row>
    <row r="100" spans="1:11" s="20" customFormat="1" ht="29.35" customHeight="1" x14ac:dyDescent="0.45">
      <c r="A100" s="24" t="s">
        <v>204</v>
      </c>
      <c r="B100" s="18" t="s">
        <v>967</v>
      </c>
      <c r="C100" s="10"/>
      <c r="D100" s="17">
        <f t="shared" si="40"/>
        <v>20</v>
      </c>
      <c r="E100" s="14"/>
      <c r="F100" s="14"/>
      <c r="G100" s="17">
        <v>20</v>
      </c>
      <c r="H100" s="409">
        <f t="shared" si="37"/>
        <v>2</v>
      </c>
      <c r="I100" s="409">
        <f t="shared" si="38"/>
        <v>1.8</v>
      </c>
      <c r="J100" s="17">
        <f t="shared" si="39"/>
        <v>16.2</v>
      </c>
      <c r="K100" s="52"/>
    </row>
    <row r="101" spans="1:11" s="20" customFormat="1" ht="20.65" customHeight="1" x14ac:dyDescent="0.45">
      <c r="A101" s="24" t="s">
        <v>204</v>
      </c>
      <c r="B101" s="18" t="s">
        <v>966</v>
      </c>
      <c r="C101" s="10"/>
      <c r="D101" s="17">
        <f t="shared" si="40"/>
        <v>20</v>
      </c>
      <c r="E101" s="14"/>
      <c r="F101" s="14"/>
      <c r="G101" s="17">
        <v>20</v>
      </c>
      <c r="H101" s="409">
        <f t="shared" si="37"/>
        <v>2</v>
      </c>
      <c r="I101" s="409">
        <f t="shared" si="38"/>
        <v>1.8</v>
      </c>
      <c r="J101" s="17">
        <f t="shared" si="39"/>
        <v>16.2</v>
      </c>
      <c r="K101" s="52"/>
    </row>
    <row r="102" spans="1:11" s="20" customFormat="1" ht="42" customHeight="1" x14ac:dyDescent="0.45">
      <c r="A102" s="24" t="s">
        <v>204</v>
      </c>
      <c r="B102" s="18" t="s">
        <v>964</v>
      </c>
      <c r="C102" s="10"/>
      <c r="D102" s="17">
        <f t="shared" si="40"/>
        <v>70</v>
      </c>
      <c r="E102" s="14"/>
      <c r="F102" s="14"/>
      <c r="G102" s="17">
        <v>70</v>
      </c>
      <c r="H102" s="409">
        <f t="shared" si="37"/>
        <v>7</v>
      </c>
      <c r="I102" s="409">
        <f t="shared" si="38"/>
        <v>6.3000000000000007</v>
      </c>
      <c r="J102" s="17">
        <f t="shared" si="39"/>
        <v>56.7</v>
      </c>
      <c r="K102" s="52"/>
    </row>
    <row r="103" spans="1:11" ht="19.5" customHeight="1" x14ac:dyDescent="0.45">
      <c r="A103" s="25" t="s">
        <v>240</v>
      </c>
      <c r="B103" s="19" t="s">
        <v>241</v>
      </c>
      <c r="C103" s="10">
        <v>1</v>
      </c>
      <c r="D103" s="14">
        <f>SUM(D104:D108)</f>
        <v>163</v>
      </c>
      <c r="E103" s="14">
        <f t="shared" ref="E103:I103" si="41">SUM(E104:E108)</f>
        <v>0</v>
      </c>
      <c r="F103" s="14">
        <f t="shared" si="41"/>
        <v>33</v>
      </c>
      <c r="G103" s="14">
        <f t="shared" si="41"/>
        <v>130</v>
      </c>
      <c r="H103" s="408">
        <f t="shared" si="41"/>
        <v>16.3</v>
      </c>
      <c r="I103" s="408">
        <f t="shared" si="41"/>
        <v>14.670000000000002</v>
      </c>
      <c r="J103" s="14">
        <f>SUM(J104:J108)</f>
        <v>132.03</v>
      </c>
      <c r="K103" s="52"/>
    </row>
    <row r="104" spans="1:11" ht="38.75" customHeight="1" x14ac:dyDescent="0.45">
      <c r="A104" s="25" t="s">
        <v>204</v>
      </c>
      <c r="B104" s="22" t="s">
        <v>242</v>
      </c>
      <c r="C104" s="10"/>
      <c r="D104" s="17">
        <f t="shared" ref="D104:D105" si="42">SUM(E104:G104)</f>
        <v>33</v>
      </c>
      <c r="E104" s="14"/>
      <c r="F104" s="17">
        <v>33</v>
      </c>
      <c r="G104" s="17"/>
      <c r="H104" s="409">
        <f t="shared" ref="H104:H120" si="43">(F104+G104)*10%</f>
        <v>3.3000000000000003</v>
      </c>
      <c r="I104" s="409">
        <f t="shared" si="38"/>
        <v>2.97</v>
      </c>
      <c r="J104" s="17">
        <f t="shared" si="39"/>
        <v>26.73</v>
      </c>
      <c r="K104" s="52"/>
    </row>
    <row r="105" spans="1:11" ht="23.75" customHeight="1" x14ac:dyDescent="0.45">
      <c r="A105" s="25" t="s">
        <v>204</v>
      </c>
      <c r="B105" s="22" t="s">
        <v>923</v>
      </c>
      <c r="C105" s="10"/>
      <c r="D105" s="17">
        <f t="shared" si="42"/>
        <v>40</v>
      </c>
      <c r="E105" s="14"/>
      <c r="F105" s="14"/>
      <c r="G105" s="17">
        <v>40</v>
      </c>
      <c r="H105" s="409">
        <f t="shared" si="43"/>
        <v>4</v>
      </c>
      <c r="I105" s="409">
        <f t="shared" si="38"/>
        <v>3.6</v>
      </c>
      <c r="J105" s="17">
        <f t="shared" si="39"/>
        <v>32.4</v>
      </c>
      <c r="K105" s="52"/>
    </row>
    <row r="106" spans="1:11" ht="23.75" customHeight="1" x14ac:dyDescent="0.45">
      <c r="A106" s="24" t="s">
        <v>204</v>
      </c>
      <c r="B106" s="18" t="s">
        <v>952</v>
      </c>
      <c r="C106" s="10"/>
      <c r="D106" s="17">
        <f t="shared" ref="D106:D107" si="44">SUM(E106:G106)</f>
        <v>20</v>
      </c>
      <c r="E106" s="14"/>
      <c r="F106" s="14"/>
      <c r="G106" s="17">
        <v>20</v>
      </c>
      <c r="H106" s="409">
        <f t="shared" si="43"/>
        <v>2</v>
      </c>
      <c r="I106" s="409">
        <f t="shared" si="38"/>
        <v>1.8</v>
      </c>
      <c r="J106" s="17">
        <f t="shared" si="39"/>
        <v>16.2</v>
      </c>
      <c r="K106" s="52"/>
    </row>
    <row r="107" spans="1:11" ht="23.75" customHeight="1" x14ac:dyDescent="0.45">
      <c r="A107" s="24" t="s">
        <v>204</v>
      </c>
      <c r="B107" s="18" t="s">
        <v>953</v>
      </c>
      <c r="C107" s="10"/>
      <c r="D107" s="17">
        <f t="shared" si="44"/>
        <v>20</v>
      </c>
      <c r="E107" s="14"/>
      <c r="F107" s="14"/>
      <c r="G107" s="17">
        <v>20</v>
      </c>
      <c r="H107" s="409">
        <f t="shared" si="43"/>
        <v>2</v>
      </c>
      <c r="I107" s="409">
        <f t="shared" si="38"/>
        <v>1.8</v>
      </c>
      <c r="J107" s="17">
        <f t="shared" si="39"/>
        <v>16.2</v>
      </c>
      <c r="K107" s="52"/>
    </row>
    <row r="108" spans="1:11" ht="23.75" customHeight="1" x14ac:dyDescent="0.45">
      <c r="A108" s="24" t="s">
        <v>204</v>
      </c>
      <c r="B108" s="18" t="s">
        <v>964</v>
      </c>
      <c r="C108" s="10"/>
      <c r="D108" s="17">
        <f t="shared" ref="D108" si="45">SUM(E108:G108)</f>
        <v>50</v>
      </c>
      <c r="E108" s="14"/>
      <c r="F108" s="14"/>
      <c r="G108" s="17">
        <v>50</v>
      </c>
      <c r="H108" s="409">
        <f t="shared" si="43"/>
        <v>5</v>
      </c>
      <c r="I108" s="409">
        <f t="shared" si="38"/>
        <v>4.5</v>
      </c>
      <c r="J108" s="17">
        <f t="shared" si="39"/>
        <v>40.5</v>
      </c>
      <c r="K108" s="52"/>
    </row>
    <row r="109" spans="1:11" ht="18.95" customHeight="1" x14ac:dyDescent="0.45">
      <c r="A109" s="25" t="s">
        <v>357</v>
      </c>
      <c r="B109" s="19" t="s">
        <v>244</v>
      </c>
      <c r="C109" s="10">
        <v>1</v>
      </c>
      <c r="D109" s="14">
        <f>SUM(D110:D112)</f>
        <v>103</v>
      </c>
      <c r="E109" s="14">
        <f t="shared" ref="E109:I109" si="46">SUM(E110:E112)</f>
        <v>0</v>
      </c>
      <c r="F109" s="14">
        <f t="shared" si="46"/>
        <v>33</v>
      </c>
      <c r="G109" s="14">
        <f t="shared" si="46"/>
        <v>70</v>
      </c>
      <c r="H109" s="408">
        <f t="shared" si="46"/>
        <v>10.3</v>
      </c>
      <c r="I109" s="408">
        <f t="shared" si="46"/>
        <v>9.27</v>
      </c>
      <c r="J109" s="14">
        <f>SUM(J110:J112)</f>
        <v>83.43</v>
      </c>
      <c r="K109" s="52"/>
    </row>
    <row r="110" spans="1:11" ht="18.95" customHeight="1" x14ac:dyDescent="0.45">
      <c r="A110" s="15" t="s">
        <v>204</v>
      </c>
      <c r="B110" s="27" t="s">
        <v>390</v>
      </c>
      <c r="C110" s="10"/>
      <c r="D110" s="17">
        <f t="shared" ref="D110:D112" si="47">SUM(E110:G110)</f>
        <v>33</v>
      </c>
      <c r="E110" s="17"/>
      <c r="F110" s="17">
        <v>33</v>
      </c>
      <c r="G110" s="17"/>
      <c r="H110" s="409">
        <f t="shared" si="43"/>
        <v>3.3000000000000003</v>
      </c>
      <c r="I110" s="409">
        <f t="shared" si="38"/>
        <v>2.97</v>
      </c>
      <c r="J110" s="17">
        <f t="shared" si="39"/>
        <v>26.73</v>
      </c>
      <c r="K110" s="52"/>
    </row>
    <row r="111" spans="1:11" ht="29.35" customHeight="1" x14ac:dyDescent="0.45">
      <c r="A111" s="24" t="s">
        <v>204</v>
      </c>
      <c r="B111" s="18" t="s">
        <v>952</v>
      </c>
      <c r="C111" s="10"/>
      <c r="D111" s="17">
        <f t="shared" si="47"/>
        <v>20</v>
      </c>
      <c r="E111" s="17"/>
      <c r="F111" s="17"/>
      <c r="G111" s="17">
        <v>20</v>
      </c>
      <c r="H111" s="409">
        <f t="shared" si="43"/>
        <v>2</v>
      </c>
      <c r="I111" s="409">
        <f t="shared" ref="I111" si="48">(F111+G111-H111)*10%</f>
        <v>1.8</v>
      </c>
      <c r="J111" s="17">
        <f t="shared" si="39"/>
        <v>16.2</v>
      </c>
      <c r="K111" s="52"/>
    </row>
    <row r="112" spans="1:11" ht="29.35" customHeight="1" x14ac:dyDescent="0.45">
      <c r="A112" s="24" t="s">
        <v>204</v>
      </c>
      <c r="B112" s="18" t="s">
        <v>964</v>
      </c>
      <c r="C112" s="10"/>
      <c r="D112" s="17">
        <f t="shared" si="47"/>
        <v>50</v>
      </c>
      <c r="E112" s="14"/>
      <c r="F112" s="14"/>
      <c r="G112" s="17">
        <v>50</v>
      </c>
      <c r="H112" s="409">
        <f t="shared" ref="H112" si="49">(F112+G112)*10%</f>
        <v>5</v>
      </c>
      <c r="I112" s="409">
        <f t="shared" si="38"/>
        <v>4.5</v>
      </c>
      <c r="J112" s="17">
        <f t="shared" si="39"/>
        <v>40.5</v>
      </c>
      <c r="K112" s="52"/>
    </row>
    <row r="113" spans="1:14" ht="18.95" customHeight="1" x14ac:dyDescent="0.45">
      <c r="A113" s="25" t="s">
        <v>243</v>
      </c>
      <c r="B113" s="19" t="s">
        <v>245</v>
      </c>
      <c r="C113" s="10">
        <v>1</v>
      </c>
      <c r="D113" s="14">
        <f>SUM(D114:D118)</f>
        <v>153</v>
      </c>
      <c r="E113" s="14">
        <f t="shared" ref="E113:I113" si="50">SUM(E114:E118)</f>
        <v>0</v>
      </c>
      <c r="F113" s="14">
        <f t="shared" si="50"/>
        <v>33</v>
      </c>
      <c r="G113" s="14">
        <f t="shared" si="50"/>
        <v>120</v>
      </c>
      <c r="H113" s="408">
        <f t="shared" si="50"/>
        <v>15.3</v>
      </c>
      <c r="I113" s="408">
        <f t="shared" si="50"/>
        <v>13.77</v>
      </c>
      <c r="J113" s="14">
        <f>SUM(J114:J118)</f>
        <v>123.92999999999999</v>
      </c>
      <c r="K113" s="52"/>
    </row>
    <row r="114" spans="1:14" ht="18.95" customHeight="1" x14ac:dyDescent="0.45">
      <c r="A114" s="15" t="s">
        <v>204</v>
      </c>
      <c r="B114" s="27" t="s">
        <v>390</v>
      </c>
      <c r="C114" s="10"/>
      <c r="D114" s="17">
        <f t="shared" ref="D114:D118" si="51">SUM(E114:G114)</f>
        <v>33</v>
      </c>
      <c r="E114" s="17"/>
      <c r="F114" s="17">
        <v>33</v>
      </c>
      <c r="G114" s="17"/>
      <c r="H114" s="409">
        <f t="shared" si="43"/>
        <v>3.3000000000000003</v>
      </c>
      <c r="I114" s="409">
        <f t="shared" si="38"/>
        <v>2.97</v>
      </c>
      <c r="J114" s="17">
        <f t="shared" si="39"/>
        <v>26.73</v>
      </c>
      <c r="K114" s="52"/>
    </row>
    <row r="115" spans="1:14" ht="18.95" customHeight="1" x14ac:dyDescent="0.45">
      <c r="A115" s="24" t="s">
        <v>204</v>
      </c>
      <c r="B115" s="18" t="s">
        <v>952</v>
      </c>
      <c r="C115" s="10"/>
      <c r="D115" s="17">
        <f t="shared" ref="D115" si="52">SUM(E115:G115)</f>
        <v>20</v>
      </c>
      <c r="E115" s="14"/>
      <c r="F115" s="14"/>
      <c r="G115" s="17">
        <v>20</v>
      </c>
      <c r="H115" s="409">
        <f t="shared" ref="H115" si="53">(F115+G115)*10%</f>
        <v>2</v>
      </c>
      <c r="I115" s="409">
        <f t="shared" si="38"/>
        <v>1.8</v>
      </c>
      <c r="J115" s="17">
        <f t="shared" si="39"/>
        <v>16.2</v>
      </c>
      <c r="K115" s="52"/>
    </row>
    <row r="116" spans="1:14" ht="18.95" customHeight="1" x14ac:dyDescent="0.45">
      <c r="A116" s="25" t="s">
        <v>204</v>
      </c>
      <c r="B116" s="22" t="s">
        <v>943</v>
      </c>
      <c r="C116" s="10"/>
      <c r="D116" s="17">
        <f t="shared" si="51"/>
        <v>20</v>
      </c>
      <c r="E116" s="17"/>
      <c r="F116" s="17"/>
      <c r="G116" s="17">
        <v>20</v>
      </c>
      <c r="H116" s="409">
        <f t="shared" si="43"/>
        <v>2</v>
      </c>
      <c r="I116" s="409">
        <f t="shared" si="38"/>
        <v>1.8</v>
      </c>
      <c r="J116" s="17">
        <f t="shared" si="39"/>
        <v>16.2</v>
      </c>
      <c r="K116" s="52"/>
    </row>
    <row r="117" spans="1:14" ht="44.35" customHeight="1" x14ac:dyDescent="0.45">
      <c r="A117" s="25" t="s">
        <v>204</v>
      </c>
      <c r="B117" s="22" t="s">
        <v>942</v>
      </c>
      <c r="C117" s="10"/>
      <c r="D117" s="17">
        <f t="shared" si="51"/>
        <v>30</v>
      </c>
      <c r="E117" s="17"/>
      <c r="F117" s="17"/>
      <c r="G117" s="17">
        <v>30</v>
      </c>
      <c r="H117" s="409">
        <f t="shared" si="43"/>
        <v>3</v>
      </c>
      <c r="I117" s="409">
        <f t="shared" si="38"/>
        <v>2.7</v>
      </c>
      <c r="J117" s="17">
        <f t="shared" si="39"/>
        <v>24.3</v>
      </c>
      <c r="K117" s="52"/>
    </row>
    <row r="118" spans="1:14" ht="36" customHeight="1" x14ac:dyDescent="0.45">
      <c r="A118" s="24" t="s">
        <v>204</v>
      </c>
      <c r="B118" s="18" t="s">
        <v>964</v>
      </c>
      <c r="C118" s="10"/>
      <c r="D118" s="17">
        <f t="shared" si="51"/>
        <v>50</v>
      </c>
      <c r="E118" s="14"/>
      <c r="F118" s="14"/>
      <c r="G118" s="17">
        <v>50</v>
      </c>
      <c r="H118" s="409">
        <f t="shared" si="43"/>
        <v>5</v>
      </c>
      <c r="I118" s="409">
        <f t="shared" si="38"/>
        <v>4.5</v>
      </c>
      <c r="J118" s="17">
        <f t="shared" si="39"/>
        <v>40.5</v>
      </c>
      <c r="K118" s="52"/>
    </row>
    <row r="119" spans="1:14" ht="18.5" customHeight="1" x14ac:dyDescent="0.45">
      <c r="A119" s="25" t="s">
        <v>246</v>
      </c>
      <c r="B119" s="19" t="s">
        <v>247</v>
      </c>
      <c r="C119" s="10">
        <v>1</v>
      </c>
      <c r="D119" s="14">
        <f>SUM(D120:D122)</f>
        <v>103</v>
      </c>
      <c r="E119" s="14">
        <f t="shared" ref="E119:I119" si="54">SUM(E120:E122)</f>
        <v>0</v>
      </c>
      <c r="F119" s="14">
        <f t="shared" si="54"/>
        <v>33</v>
      </c>
      <c r="G119" s="14">
        <f t="shared" si="54"/>
        <v>70</v>
      </c>
      <c r="H119" s="408">
        <f t="shared" si="54"/>
        <v>10.3</v>
      </c>
      <c r="I119" s="408">
        <f t="shared" si="54"/>
        <v>9.27</v>
      </c>
      <c r="J119" s="14">
        <f>SUM(J120:J122)</f>
        <v>83.43</v>
      </c>
      <c r="K119" s="52"/>
      <c r="M119" s="5"/>
    </row>
    <row r="120" spans="1:14" ht="18.5" customHeight="1" x14ac:dyDescent="0.45">
      <c r="A120" s="26" t="s">
        <v>204</v>
      </c>
      <c r="B120" s="27" t="s">
        <v>390</v>
      </c>
      <c r="C120" s="10"/>
      <c r="D120" s="17">
        <f>SUM(E120:G120)</f>
        <v>33</v>
      </c>
      <c r="E120" s="17"/>
      <c r="F120" s="17">
        <v>33</v>
      </c>
      <c r="G120" s="17"/>
      <c r="H120" s="409">
        <f t="shared" si="43"/>
        <v>3.3000000000000003</v>
      </c>
      <c r="I120" s="409">
        <f t="shared" si="38"/>
        <v>2.97</v>
      </c>
      <c r="J120" s="17">
        <f t="shared" si="39"/>
        <v>26.73</v>
      </c>
      <c r="K120" s="52"/>
    </row>
    <row r="121" spans="1:14" ht="22.9" customHeight="1" x14ac:dyDescent="0.45">
      <c r="A121" s="24" t="s">
        <v>204</v>
      </c>
      <c r="B121" s="18" t="s">
        <v>952</v>
      </c>
      <c r="C121" s="10"/>
      <c r="D121" s="17">
        <f t="shared" ref="D121:D122" si="55">SUM(E121:G121)</f>
        <v>20</v>
      </c>
      <c r="E121" s="14"/>
      <c r="F121" s="14"/>
      <c r="G121" s="17">
        <v>20</v>
      </c>
      <c r="H121" s="409">
        <f t="shared" ref="H121:H122" si="56">(F121+G121)*10%</f>
        <v>2</v>
      </c>
      <c r="I121" s="409">
        <f t="shared" si="38"/>
        <v>1.8</v>
      </c>
      <c r="J121" s="17">
        <f t="shared" si="39"/>
        <v>16.2</v>
      </c>
      <c r="K121" s="52"/>
    </row>
    <row r="122" spans="1:14" ht="25.25" customHeight="1" x14ac:dyDescent="0.45">
      <c r="A122" s="24" t="s">
        <v>204</v>
      </c>
      <c r="B122" s="18" t="s">
        <v>964</v>
      </c>
      <c r="C122" s="10"/>
      <c r="D122" s="17">
        <f t="shared" si="55"/>
        <v>50</v>
      </c>
      <c r="E122" s="14"/>
      <c r="F122" s="14"/>
      <c r="G122" s="17">
        <v>50</v>
      </c>
      <c r="H122" s="409">
        <f t="shared" si="56"/>
        <v>5</v>
      </c>
      <c r="I122" s="409">
        <f t="shared" si="38"/>
        <v>4.5</v>
      </c>
      <c r="J122" s="17">
        <f t="shared" si="39"/>
        <v>40.5</v>
      </c>
      <c r="K122" s="52"/>
    </row>
    <row r="123" spans="1:14" s="20" customFormat="1" ht="19.8" customHeight="1" x14ac:dyDescent="0.45">
      <c r="A123" s="8" t="s">
        <v>248</v>
      </c>
      <c r="B123" s="19" t="s">
        <v>916</v>
      </c>
      <c r="C123" s="10"/>
      <c r="D123" s="14">
        <f t="shared" ref="D123:D124" si="57">SUM(E123:G123)</f>
        <v>200</v>
      </c>
      <c r="E123" s="14"/>
      <c r="F123" s="14"/>
      <c r="G123" s="14">
        <v>200</v>
      </c>
      <c r="H123" s="408">
        <f t="shared" ref="H123:H124" si="58">(F123+G123)*10%</f>
        <v>20</v>
      </c>
      <c r="I123" s="408">
        <f t="shared" si="38"/>
        <v>18</v>
      </c>
      <c r="J123" s="14">
        <f t="shared" si="39"/>
        <v>162</v>
      </c>
      <c r="K123" s="52"/>
    </row>
    <row r="124" spans="1:14" s="20" customFormat="1" ht="19.8" customHeight="1" x14ac:dyDescent="0.45">
      <c r="A124" s="8" t="s">
        <v>251</v>
      </c>
      <c r="B124" s="19" t="s">
        <v>915</v>
      </c>
      <c r="C124" s="10"/>
      <c r="D124" s="14">
        <f t="shared" si="57"/>
        <v>200</v>
      </c>
      <c r="E124" s="14"/>
      <c r="F124" s="14"/>
      <c r="G124" s="14">
        <v>200</v>
      </c>
      <c r="H124" s="408">
        <f t="shared" si="58"/>
        <v>20</v>
      </c>
      <c r="I124" s="408">
        <f>(F124+G124-H124)*10%</f>
        <v>18</v>
      </c>
      <c r="J124" s="14">
        <f t="shared" si="39"/>
        <v>162</v>
      </c>
      <c r="K124" s="52"/>
    </row>
    <row r="125" spans="1:14" s="20" customFormat="1" ht="38.75" customHeight="1" x14ac:dyDescent="0.45">
      <c r="A125" s="25" t="s">
        <v>257</v>
      </c>
      <c r="B125" s="19" t="s">
        <v>922</v>
      </c>
      <c r="C125" s="10"/>
      <c r="D125" s="14">
        <f>SUM(E125:G125)</f>
        <v>874.82799999999997</v>
      </c>
      <c r="E125" s="14">
        <f>880.828+54-30-30</f>
        <v>874.82799999999997</v>
      </c>
      <c r="F125" s="14"/>
      <c r="G125" s="14"/>
      <c r="H125" s="409">
        <f t="shared" ref="H125" si="59">(F125+G125)*10%</f>
        <v>0</v>
      </c>
      <c r="I125" s="408">
        <f t="shared" si="38"/>
        <v>0</v>
      </c>
      <c r="J125" s="14">
        <f t="shared" si="39"/>
        <v>874.82799999999997</v>
      </c>
      <c r="K125" s="52"/>
    </row>
    <row r="126" spans="1:14" ht="26.75" customHeight="1" x14ac:dyDescent="0.45">
      <c r="A126" s="8" t="s">
        <v>36</v>
      </c>
      <c r="B126" s="9" t="s">
        <v>258</v>
      </c>
      <c r="C126" s="10">
        <f t="shared" ref="C126:J126" si="60">C127+C166</f>
        <v>192</v>
      </c>
      <c r="D126" s="11">
        <f t="shared" si="60"/>
        <v>70478</v>
      </c>
      <c r="E126" s="11">
        <f t="shared" si="60"/>
        <v>50907.999999999993</v>
      </c>
      <c r="F126" s="11">
        <f t="shared" si="60"/>
        <v>8448</v>
      </c>
      <c r="G126" s="11">
        <f t="shared" si="60"/>
        <v>11122</v>
      </c>
      <c r="H126" s="23">
        <f t="shared" si="60"/>
        <v>888</v>
      </c>
      <c r="I126" s="23">
        <f t="shared" ref="I126" si="61">I127+I166</f>
        <v>799.2</v>
      </c>
      <c r="J126" s="11">
        <f t="shared" si="60"/>
        <v>68790.799999999988</v>
      </c>
      <c r="K126" s="377"/>
      <c r="L126" s="3">
        <v>760</v>
      </c>
      <c r="M126" s="179">
        <v>70478</v>
      </c>
      <c r="N126" s="180">
        <f>M126-D126</f>
        <v>0</v>
      </c>
    </row>
    <row r="127" spans="1:14" ht="26.75" customHeight="1" x14ac:dyDescent="0.45">
      <c r="A127" s="8" t="s">
        <v>163</v>
      </c>
      <c r="B127" s="9" t="s">
        <v>259</v>
      </c>
      <c r="C127" s="10">
        <f>C128+C129+C158</f>
        <v>192</v>
      </c>
      <c r="D127" s="11">
        <f t="shared" ref="D127:J127" si="62">D128+D129+D158</f>
        <v>69761.338999999993</v>
      </c>
      <c r="E127" s="11">
        <f t="shared" si="62"/>
        <v>50641.338999999993</v>
      </c>
      <c r="F127" s="11">
        <f t="shared" si="62"/>
        <v>8423</v>
      </c>
      <c r="G127" s="11">
        <f t="shared" si="62"/>
        <v>10697</v>
      </c>
      <c r="H127" s="23">
        <f t="shared" si="62"/>
        <v>883</v>
      </c>
      <c r="I127" s="23">
        <f t="shared" ref="I127" si="63">I128+I129+I158</f>
        <v>794.7</v>
      </c>
      <c r="J127" s="11">
        <f t="shared" si="62"/>
        <v>68083.638999999996</v>
      </c>
      <c r="K127" s="377"/>
      <c r="L127" s="13">
        <f>L126-H126</f>
        <v>-128</v>
      </c>
      <c r="M127" s="20" t="s">
        <v>907</v>
      </c>
    </row>
    <row r="128" spans="1:14" ht="30.85" customHeight="1" x14ac:dyDescent="0.45">
      <c r="A128" s="8" t="s">
        <v>260</v>
      </c>
      <c r="B128" s="29" t="s">
        <v>388</v>
      </c>
      <c r="C128" s="10"/>
      <c r="D128" s="14">
        <f t="shared" ref="D128" si="64">SUM(E128:G128)</f>
        <v>150</v>
      </c>
      <c r="E128" s="14"/>
      <c r="F128" s="14"/>
      <c r="G128" s="14">
        <v>150</v>
      </c>
      <c r="H128" s="408">
        <f t="shared" ref="H128" si="65">(F128+G128)*10%</f>
        <v>15</v>
      </c>
      <c r="I128" s="408">
        <f t="shared" ref="I128" si="66">(F128+G128-H128)*10%</f>
        <v>13.5</v>
      </c>
      <c r="J128" s="14">
        <f t="shared" ref="J128" si="67">D128-H128-I128</f>
        <v>121.5</v>
      </c>
      <c r="K128" s="52"/>
      <c r="M128" s="374">
        <v>30949.843625189998</v>
      </c>
      <c r="N128" s="180">
        <f>F126/M128*100</f>
        <v>27.295776037860804</v>
      </c>
    </row>
    <row r="129" spans="1:17" x14ac:dyDescent="0.45">
      <c r="A129" s="8" t="s">
        <v>261</v>
      </c>
      <c r="B129" s="31" t="s">
        <v>252</v>
      </c>
      <c r="C129" s="10">
        <f>C130+C136+C141+C146+C151+C156</f>
        <v>192</v>
      </c>
      <c r="D129" s="11">
        <f>D130+D136+D141+D146+D151+D156+D157</f>
        <v>55614.338999999993</v>
      </c>
      <c r="E129" s="11">
        <f>E130+E136+E141+E146+E151+E156+E157</f>
        <v>50641.338999999993</v>
      </c>
      <c r="F129" s="11">
        <f>F130+F136+F141+F146+F151+F156+F157</f>
        <v>4923</v>
      </c>
      <c r="G129" s="11">
        <f t="shared" ref="G129:J129" si="68">G130+G136+G141+G146+G151+G156+G157</f>
        <v>50</v>
      </c>
      <c r="H129" s="23">
        <f t="shared" si="68"/>
        <v>489.8</v>
      </c>
      <c r="I129" s="23">
        <f t="shared" ref="I129" si="69">I130+I136+I141+I146+I151+I156+I157</f>
        <v>440.82000000000005</v>
      </c>
      <c r="J129" s="11">
        <f t="shared" si="68"/>
        <v>54683.718999999997</v>
      </c>
      <c r="K129" s="52"/>
    </row>
    <row r="130" spans="1:17" s="20" customFormat="1" x14ac:dyDescent="0.45">
      <c r="A130" s="8">
        <v>1</v>
      </c>
      <c r="B130" s="31" t="s">
        <v>262</v>
      </c>
      <c r="C130" s="10">
        <v>16</v>
      </c>
      <c r="D130" s="14">
        <f>SUM(D131:D135)</f>
        <v>4361.8180000000002</v>
      </c>
      <c r="E130" s="14">
        <f t="shared" ref="E130:J130" si="70">SUM(E131:E135)</f>
        <v>3824.8179999999998</v>
      </c>
      <c r="F130" s="14">
        <f>SUM(F131:F135)</f>
        <v>527</v>
      </c>
      <c r="G130" s="14">
        <f t="shared" si="70"/>
        <v>10</v>
      </c>
      <c r="H130" s="408">
        <f t="shared" si="70"/>
        <v>52.2</v>
      </c>
      <c r="I130" s="408">
        <f t="shared" ref="I130" si="71">SUM(I131:I135)</f>
        <v>46.980000000000004</v>
      </c>
      <c r="J130" s="14">
        <f t="shared" si="70"/>
        <v>4262.6380000000017</v>
      </c>
      <c r="K130" s="52"/>
    </row>
    <row r="131" spans="1:17" ht="26.25" x14ac:dyDescent="0.45">
      <c r="A131" s="15" t="s">
        <v>204</v>
      </c>
      <c r="B131" s="16" t="s">
        <v>205</v>
      </c>
      <c r="C131" s="10"/>
      <c r="D131" s="17">
        <f>SUM(E131:G131)</f>
        <v>4136.8680000000004</v>
      </c>
      <c r="E131" s="17">
        <v>3684.8679999999999</v>
      </c>
      <c r="F131" s="17">
        <f>C130*26+36</f>
        <v>452</v>
      </c>
      <c r="G131" s="17"/>
      <c r="H131" s="409">
        <f t="shared" ref="H131:H135" si="72">(F131+G131)*10%</f>
        <v>45.2</v>
      </c>
      <c r="I131" s="409">
        <f t="shared" ref="I131:I155" si="73">(F131+G131-H131)*10%</f>
        <v>40.680000000000007</v>
      </c>
      <c r="J131" s="17">
        <f t="shared" ref="J131:J157" si="74">D131-H131-I131</f>
        <v>4050.9880000000007</v>
      </c>
      <c r="K131" s="52"/>
    </row>
    <row r="132" spans="1:17" x14ac:dyDescent="0.45">
      <c r="A132" s="15" t="s">
        <v>204</v>
      </c>
      <c r="B132" s="32" t="s">
        <v>206</v>
      </c>
      <c r="C132" s="10"/>
      <c r="D132" s="17">
        <f t="shared" ref="D132:D135" si="75">SUM(E132:G132)</f>
        <v>139.94999999999999</v>
      </c>
      <c r="E132" s="17">
        <v>139.94999999999999</v>
      </c>
      <c r="F132" s="17"/>
      <c r="G132" s="17"/>
      <c r="H132" s="409">
        <f t="shared" si="72"/>
        <v>0</v>
      </c>
      <c r="I132" s="409">
        <f t="shared" si="73"/>
        <v>0</v>
      </c>
      <c r="J132" s="17">
        <f t="shared" si="74"/>
        <v>139.94999999999999</v>
      </c>
      <c r="K132" s="52"/>
    </row>
    <row r="133" spans="1:17" ht="33.85" customHeight="1" x14ac:dyDescent="0.45">
      <c r="A133" s="15" t="s">
        <v>204</v>
      </c>
      <c r="B133" s="32" t="s">
        <v>908</v>
      </c>
      <c r="C133" s="10"/>
      <c r="D133" s="17">
        <f t="shared" si="75"/>
        <v>60</v>
      </c>
      <c r="E133" s="17"/>
      <c r="F133" s="17">
        <v>60</v>
      </c>
      <c r="G133" s="17"/>
      <c r="H133" s="409">
        <f t="shared" si="72"/>
        <v>6</v>
      </c>
      <c r="I133" s="409">
        <f t="shared" si="73"/>
        <v>5.4</v>
      </c>
      <c r="J133" s="17">
        <f t="shared" si="74"/>
        <v>48.6</v>
      </c>
      <c r="K133" s="52"/>
    </row>
    <row r="134" spans="1:17" ht="16.899999999999999" customHeight="1" x14ac:dyDescent="0.45">
      <c r="A134" s="15" t="s">
        <v>204</v>
      </c>
      <c r="B134" s="32" t="s">
        <v>949</v>
      </c>
      <c r="C134" s="10"/>
      <c r="D134" s="17">
        <f t="shared" si="75"/>
        <v>15</v>
      </c>
      <c r="E134" s="17"/>
      <c r="F134" s="17">
        <v>15</v>
      </c>
      <c r="G134" s="17"/>
      <c r="H134" s="409"/>
      <c r="I134" s="409"/>
      <c r="J134" s="17">
        <f t="shared" si="74"/>
        <v>15</v>
      </c>
      <c r="K134" s="52"/>
    </row>
    <row r="135" spans="1:17" x14ac:dyDescent="0.4">
      <c r="A135" s="15" t="s">
        <v>204</v>
      </c>
      <c r="B135" s="22" t="s">
        <v>938</v>
      </c>
      <c r="C135" s="10"/>
      <c r="D135" s="17">
        <f t="shared" si="75"/>
        <v>10</v>
      </c>
      <c r="E135" s="33"/>
      <c r="F135" s="33"/>
      <c r="G135" s="33">
        <v>10</v>
      </c>
      <c r="H135" s="409">
        <f t="shared" si="72"/>
        <v>1</v>
      </c>
      <c r="I135" s="409">
        <f t="shared" si="73"/>
        <v>0.9</v>
      </c>
      <c r="J135" s="17">
        <f t="shared" si="74"/>
        <v>8.1</v>
      </c>
      <c r="K135" s="52"/>
    </row>
    <row r="136" spans="1:17" s="20" customFormat="1" x14ac:dyDescent="0.45">
      <c r="A136" s="8">
        <v>2</v>
      </c>
      <c r="B136" s="31" t="s">
        <v>253</v>
      </c>
      <c r="C136" s="10">
        <v>43</v>
      </c>
      <c r="D136" s="30">
        <f>SUM(D137:D140)</f>
        <v>14514.123000000001</v>
      </c>
      <c r="E136" s="30">
        <f t="shared" ref="E136:J136" si="76">SUM(E137:E140)</f>
        <v>13428.123000000001</v>
      </c>
      <c r="F136" s="30">
        <f t="shared" si="76"/>
        <v>1076</v>
      </c>
      <c r="G136" s="30">
        <f t="shared" si="76"/>
        <v>10</v>
      </c>
      <c r="H136" s="410">
        <f t="shared" si="76"/>
        <v>107.10000000000001</v>
      </c>
      <c r="I136" s="410">
        <f t="shared" si="76"/>
        <v>96.390000000000015</v>
      </c>
      <c r="J136" s="30">
        <f t="shared" si="76"/>
        <v>14310.633000000002</v>
      </c>
      <c r="K136" s="375"/>
    </row>
    <row r="137" spans="1:17" ht="26.25" x14ac:dyDescent="0.45">
      <c r="A137" s="15" t="s">
        <v>204</v>
      </c>
      <c r="B137" s="16" t="s">
        <v>205</v>
      </c>
      <c r="C137" s="10"/>
      <c r="D137" s="17">
        <f>SUM(E137:G137)</f>
        <v>14005.137000000001</v>
      </c>
      <c r="E137" s="17">
        <v>12944.137000000001</v>
      </c>
      <c r="F137" s="17">
        <f>C136*23+72</f>
        <v>1061</v>
      </c>
      <c r="G137" s="17"/>
      <c r="H137" s="409">
        <f t="shared" ref="H137:H140" si="77">(F137+G137)*10%</f>
        <v>106.10000000000001</v>
      </c>
      <c r="I137" s="409">
        <f t="shared" si="73"/>
        <v>95.490000000000009</v>
      </c>
      <c r="J137" s="17">
        <f t="shared" si="74"/>
        <v>13803.547</v>
      </c>
      <c r="K137" s="52"/>
      <c r="Q137" s="13"/>
    </row>
    <row r="138" spans="1:17" x14ac:dyDescent="0.45">
      <c r="A138" s="15" t="s">
        <v>204</v>
      </c>
      <c r="B138" s="32" t="s">
        <v>206</v>
      </c>
      <c r="C138" s="10"/>
      <c r="D138" s="17">
        <f>SUM(E138:G138)</f>
        <v>483.98599999999999</v>
      </c>
      <c r="E138" s="17">
        <v>483.98599999999999</v>
      </c>
      <c r="F138" s="17"/>
      <c r="G138" s="17"/>
      <c r="H138" s="409">
        <f t="shared" si="77"/>
        <v>0</v>
      </c>
      <c r="I138" s="409">
        <f t="shared" si="73"/>
        <v>0</v>
      </c>
      <c r="J138" s="17">
        <f t="shared" si="74"/>
        <v>483.98599999999999</v>
      </c>
      <c r="K138" s="52"/>
    </row>
    <row r="139" spans="1:17" ht="13.5" customHeight="1" x14ac:dyDescent="0.45">
      <c r="A139" s="15" t="s">
        <v>204</v>
      </c>
      <c r="B139" s="32" t="s">
        <v>949</v>
      </c>
      <c r="C139" s="10"/>
      <c r="D139" s="17">
        <f t="shared" ref="D139" si="78">SUM(E139:G139)</f>
        <v>15</v>
      </c>
      <c r="E139" s="17"/>
      <c r="F139" s="17">
        <v>15</v>
      </c>
      <c r="G139" s="17"/>
      <c r="H139" s="409"/>
      <c r="I139" s="409"/>
      <c r="J139" s="17">
        <f t="shared" si="74"/>
        <v>15</v>
      </c>
      <c r="K139" s="52"/>
    </row>
    <row r="140" spans="1:17" x14ac:dyDescent="0.4">
      <c r="A140" s="15" t="s">
        <v>204</v>
      </c>
      <c r="B140" s="22" t="s">
        <v>938</v>
      </c>
      <c r="C140" s="10"/>
      <c r="D140" s="17">
        <f>SUM(E140:G140)</f>
        <v>10</v>
      </c>
      <c r="E140" s="33"/>
      <c r="F140" s="33"/>
      <c r="G140" s="33">
        <v>10</v>
      </c>
      <c r="H140" s="409">
        <f t="shared" si="77"/>
        <v>1</v>
      </c>
      <c r="I140" s="409">
        <f t="shared" si="73"/>
        <v>0.9</v>
      </c>
      <c r="J140" s="17">
        <f t="shared" si="74"/>
        <v>8.1</v>
      </c>
      <c r="K140" s="52"/>
    </row>
    <row r="141" spans="1:17" x14ac:dyDescent="0.45">
      <c r="A141" s="8">
        <v>3</v>
      </c>
      <c r="B141" s="34" t="s">
        <v>254</v>
      </c>
      <c r="C141" s="10">
        <v>51</v>
      </c>
      <c r="D141" s="30">
        <f>SUM(D142:D145)</f>
        <v>13527.324000000001</v>
      </c>
      <c r="E141" s="30">
        <f t="shared" ref="E141:J141" si="79">SUM(E142:E145)</f>
        <v>12257.324000000001</v>
      </c>
      <c r="F141" s="30">
        <f t="shared" si="79"/>
        <v>1260</v>
      </c>
      <c r="G141" s="30">
        <f t="shared" si="79"/>
        <v>10</v>
      </c>
      <c r="H141" s="410">
        <f t="shared" si="79"/>
        <v>125.5</v>
      </c>
      <c r="I141" s="410">
        <f t="shared" si="79"/>
        <v>112.95000000000002</v>
      </c>
      <c r="J141" s="30">
        <f t="shared" si="79"/>
        <v>13288.874000000002</v>
      </c>
      <c r="K141" s="375"/>
    </row>
    <row r="142" spans="1:17" ht="26.25" x14ac:dyDescent="0.45">
      <c r="A142" s="15" t="s">
        <v>204</v>
      </c>
      <c r="B142" s="16" t="s">
        <v>205</v>
      </c>
      <c r="C142" s="10"/>
      <c r="D142" s="17">
        <f>SUM(E142:G142)</f>
        <v>13096.119000000001</v>
      </c>
      <c r="E142" s="17">
        <v>11851.119000000001</v>
      </c>
      <c r="F142" s="17">
        <f>C141*23+72</f>
        <v>1245</v>
      </c>
      <c r="G142" s="17"/>
      <c r="H142" s="409">
        <f t="shared" ref="H142:H145" si="80">(F142+G142)*10%</f>
        <v>124.5</v>
      </c>
      <c r="I142" s="409">
        <f t="shared" si="73"/>
        <v>112.05000000000001</v>
      </c>
      <c r="J142" s="17">
        <f t="shared" si="74"/>
        <v>12859.569000000001</v>
      </c>
      <c r="K142" s="52"/>
    </row>
    <row r="143" spans="1:17" x14ac:dyDescent="0.45">
      <c r="A143" s="15" t="s">
        <v>204</v>
      </c>
      <c r="B143" s="32" t="s">
        <v>206</v>
      </c>
      <c r="C143" s="10"/>
      <c r="D143" s="17">
        <f>SUM(E143:G143)</f>
        <v>406.20499999999998</v>
      </c>
      <c r="E143" s="17">
        <v>406.20499999999998</v>
      </c>
      <c r="F143" s="17"/>
      <c r="G143" s="17"/>
      <c r="H143" s="409">
        <f t="shared" si="80"/>
        <v>0</v>
      </c>
      <c r="I143" s="409">
        <f t="shared" si="73"/>
        <v>0</v>
      </c>
      <c r="J143" s="17">
        <f t="shared" si="74"/>
        <v>406.20499999999998</v>
      </c>
      <c r="K143" s="52"/>
    </row>
    <row r="144" spans="1:17" ht="15" customHeight="1" x14ac:dyDescent="0.45">
      <c r="A144" s="15" t="s">
        <v>204</v>
      </c>
      <c r="B144" s="32" t="s">
        <v>949</v>
      </c>
      <c r="C144" s="10"/>
      <c r="D144" s="17">
        <f t="shared" ref="D144" si="81">SUM(E144:G144)</f>
        <v>15</v>
      </c>
      <c r="E144" s="17"/>
      <c r="F144" s="17">
        <v>15</v>
      </c>
      <c r="G144" s="17"/>
      <c r="H144" s="409"/>
      <c r="I144" s="409"/>
      <c r="J144" s="17">
        <f t="shared" si="74"/>
        <v>15</v>
      </c>
      <c r="K144" s="52"/>
    </row>
    <row r="145" spans="1:11" x14ac:dyDescent="0.4">
      <c r="A145" s="15" t="s">
        <v>204</v>
      </c>
      <c r="B145" s="22" t="s">
        <v>938</v>
      </c>
      <c r="C145" s="10"/>
      <c r="D145" s="17">
        <f>SUM(E145:G145)</f>
        <v>10</v>
      </c>
      <c r="E145" s="33"/>
      <c r="F145" s="33"/>
      <c r="G145" s="33">
        <v>10</v>
      </c>
      <c r="H145" s="409">
        <f t="shared" si="80"/>
        <v>1</v>
      </c>
      <c r="I145" s="409">
        <f t="shared" si="73"/>
        <v>0.9</v>
      </c>
      <c r="J145" s="17">
        <f t="shared" si="74"/>
        <v>8.1</v>
      </c>
      <c r="K145" s="52"/>
    </row>
    <row r="146" spans="1:11" x14ac:dyDescent="0.45">
      <c r="A146" s="8">
        <v>4</v>
      </c>
      <c r="B146" s="34" t="s">
        <v>255</v>
      </c>
      <c r="C146" s="10">
        <v>47</v>
      </c>
      <c r="D146" s="30">
        <f>SUM(D147:D150)</f>
        <v>13158.162999999999</v>
      </c>
      <c r="E146" s="30">
        <f t="shared" ref="E146:J146" si="82">SUM(E147:E150)</f>
        <v>11980.162999999999</v>
      </c>
      <c r="F146" s="30">
        <f t="shared" si="82"/>
        <v>1168</v>
      </c>
      <c r="G146" s="30">
        <f t="shared" si="82"/>
        <v>10</v>
      </c>
      <c r="H146" s="410">
        <f t="shared" si="82"/>
        <v>116.30000000000001</v>
      </c>
      <c r="I146" s="410">
        <f t="shared" si="82"/>
        <v>104.67000000000002</v>
      </c>
      <c r="J146" s="30">
        <f t="shared" si="82"/>
        <v>12937.192999999999</v>
      </c>
      <c r="K146" s="375"/>
    </row>
    <row r="147" spans="1:11" ht="26.25" x14ac:dyDescent="0.45">
      <c r="A147" s="15" t="s">
        <v>204</v>
      </c>
      <c r="B147" s="16" t="s">
        <v>205</v>
      </c>
      <c r="C147" s="10"/>
      <c r="D147" s="17">
        <f>SUM(E147:G147)</f>
        <v>12702.191999999999</v>
      </c>
      <c r="E147" s="17">
        <v>11549.191999999999</v>
      </c>
      <c r="F147" s="17">
        <f>C146*23+72</f>
        <v>1153</v>
      </c>
      <c r="G147" s="17"/>
      <c r="H147" s="409">
        <f t="shared" ref="H147:H150" si="83">(F147+G147)*10%</f>
        <v>115.30000000000001</v>
      </c>
      <c r="I147" s="409">
        <f t="shared" si="73"/>
        <v>103.77000000000001</v>
      </c>
      <c r="J147" s="17">
        <f t="shared" si="74"/>
        <v>12483.121999999999</v>
      </c>
      <c r="K147" s="52"/>
    </row>
    <row r="148" spans="1:11" x14ac:dyDescent="0.45">
      <c r="A148" s="15" t="s">
        <v>204</v>
      </c>
      <c r="B148" s="32" t="s">
        <v>206</v>
      </c>
      <c r="C148" s="10"/>
      <c r="D148" s="17">
        <f t="shared" ref="D148:D150" si="84">SUM(E148:G148)</f>
        <v>430.971</v>
      </c>
      <c r="E148" s="17">
        <v>430.971</v>
      </c>
      <c r="F148" s="17"/>
      <c r="G148" s="17"/>
      <c r="H148" s="409">
        <f t="shared" si="83"/>
        <v>0</v>
      </c>
      <c r="I148" s="409">
        <f t="shared" si="73"/>
        <v>0</v>
      </c>
      <c r="J148" s="17">
        <f t="shared" si="74"/>
        <v>430.971</v>
      </c>
      <c r="K148" s="52"/>
    </row>
    <row r="149" spans="1:11" ht="16.25" customHeight="1" x14ac:dyDescent="0.45">
      <c r="A149" s="15" t="s">
        <v>204</v>
      </c>
      <c r="B149" s="32" t="s">
        <v>949</v>
      </c>
      <c r="C149" s="10"/>
      <c r="D149" s="17">
        <f t="shared" ref="D149" si="85">SUM(E149:G149)</f>
        <v>15</v>
      </c>
      <c r="E149" s="17"/>
      <c r="F149" s="17">
        <v>15</v>
      </c>
      <c r="G149" s="17"/>
      <c r="H149" s="409"/>
      <c r="I149" s="409"/>
      <c r="J149" s="17">
        <f t="shared" si="74"/>
        <v>15</v>
      </c>
      <c r="K149" s="52"/>
    </row>
    <row r="150" spans="1:11" x14ac:dyDescent="0.4">
      <c r="A150" s="15" t="s">
        <v>204</v>
      </c>
      <c r="B150" s="22" t="s">
        <v>938</v>
      </c>
      <c r="C150" s="10"/>
      <c r="D150" s="17">
        <f t="shared" si="84"/>
        <v>10</v>
      </c>
      <c r="E150" s="33"/>
      <c r="F150" s="33"/>
      <c r="G150" s="33">
        <v>10</v>
      </c>
      <c r="H150" s="409">
        <f t="shared" si="83"/>
        <v>1</v>
      </c>
      <c r="I150" s="409">
        <f t="shared" si="73"/>
        <v>0.9</v>
      </c>
      <c r="J150" s="17">
        <f t="shared" si="74"/>
        <v>8.1</v>
      </c>
      <c r="K150" s="52"/>
    </row>
    <row r="151" spans="1:11" s="20" customFormat="1" x14ac:dyDescent="0.45">
      <c r="A151" s="8">
        <v>5</v>
      </c>
      <c r="B151" s="31" t="s">
        <v>256</v>
      </c>
      <c r="C151" s="10">
        <v>35</v>
      </c>
      <c r="D151" s="30">
        <f>SUM(D152:D155)</f>
        <v>9795.4989999999998</v>
      </c>
      <c r="E151" s="30">
        <f>SUM(E152:E155)</f>
        <v>8893.4989999999998</v>
      </c>
      <c r="F151" s="30">
        <f>SUM(F152:F155)</f>
        <v>892</v>
      </c>
      <c r="G151" s="30">
        <f t="shared" ref="G151:J151" si="86">SUM(G152:G155)</f>
        <v>10</v>
      </c>
      <c r="H151" s="410">
        <f t="shared" si="86"/>
        <v>88.7</v>
      </c>
      <c r="I151" s="410">
        <f t="shared" si="86"/>
        <v>79.830000000000013</v>
      </c>
      <c r="J151" s="30">
        <f t="shared" si="86"/>
        <v>9626.9689999999991</v>
      </c>
      <c r="K151" s="375"/>
    </row>
    <row r="152" spans="1:11" ht="26.25" x14ac:dyDescent="0.45">
      <c r="A152" s="15" t="s">
        <v>204</v>
      </c>
      <c r="B152" s="16" t="s">
        <v>205</v>
      </c>
      <c r="C152" s="10"/>
      <c r="D152" s="17">
        <f>SUM(E152:G152)</f>
        <v>9453.4760000000006</v>
      </c>
      <c r="E152" s="17">
        <v>8576.4760000000006</v>
      </c>
      <c r="F152" s="17">
        <f>C151*23+72</f>
        <v>877</v>
      </c>
      <c r="G152" s="17"/>
      <c r="H152" s="409">
        <f t="shared" ref="H152:H155" si="87">(F152+G152)*10%</f>
        <v>87.7</v>
      </c>
      <c r="I152" s="409">
        <f t="shared" si="73"/>
        <v>78.930000000000007</v>
      </c>
      <c r="J152" s="17">
        <f t="shared" si="74"/>
        <v>9286.8459999999995</v>
      </c>
      <c r="K152" s="52"/>
    </row>
    <row r="153" spans="1:11" x14ac:dyDescent="0.45">
      <c r="A153" s="15" t="s">
        <v>204</v>
      </c>
      <c r="B153" s="32" t="s">
        <v>206</v>
      </c>
      <c r="C153" s="10"/>
      <c r="D153" s="17">
        <f>SUM(E153:G153)</f>
        <v>317.02300000000002</v>
      </c>
      <c r="E153" s="17">
        <v>317.02300000000002</v>
      </c>
      <c r="F153" s="17"/>
      <c r="G153" s="17"/>
      <c r="H153" s="409">
        <f t="shared" si="87"/>
        <v>0</v>
      </c>
      <c r="I153" s="409">
        <f t="shared" si="73"/>
        <v>0</v>
      </c>
      <c r="J153" s="17">
        <f t="shared" si="74"/>
        <v>317.02300000000002</v>
      </c>
      <c r="K153" s="52"/>
    </row>
    <row r="154" spans="1:11" ht="15.85" customHeight="1" x14ac:dyDescent="0.45">
      <c r="A154" s="15" t="s">
        <v>204</v>
      </c>
      <c r="B154" s="32" t="s">
        <v>949</v>
      </c>
      <c r="C154" s="10"/>
      <c r="D154" s="17">
        <f t="shared" ref="D154" si="88">SUM(E154:G154)</f>
        <v>15</v>
      </c>
      <c r="E154" s="17"/>
      <c r="F154" s="17">
        <v>15</v>
      </c>
      <c r="G154" s="17"/>
      <c r="H154" s="409"/>
      <c r="I154" s="409"/>
      <c r="J154" s="17">
        <f t="shared" si="74"/>
        <v>15</v>
      </c>
      <c r="K154" s="52"/>
    </row>
    <row r="155" spans="1:11" x14ac:dyDescent="0.4">
      <c r="A155" s="15" t="s">
        <v>204</v>
      </c>
      <c r="B155" s="22" t="s">
        <v>938</v>
      </c>
      <c r="C155" s="10"/>
      <c r="D155" s="17">
        <f>SUM(E155:G155)</f>
        <v>10</v>
      </c>
      <c r="E155" s="33"/>
      <c r="F155" s="33"/>
      <c r="G155" s="17">
        <v>10</v>
      </c>
      <c r="H155" s="409">
        <f t="shared" si="87"/>
        <v>1</v>
      </c>
      <c r="I155" s="409">
        <f t="shared" si="73"/>
        <v>0.9</v>
      </c>
      <c r="J155" s="17">
        <f t="shared" si="74"/>
        <v>8.1</v>
      </c>
      <c r="K155" s="52"/>
    </row>
    <row r="156" spans="1:11" s="20" customFormat="1" ht="25.5" hidden="1" x14ac:dyDescent="0.45">
      <c r="A156" s="25">
        <v>6</v>
      </c>
      <c r="B156" s="19" t="s">
        <v>263</v>
      </c>
      <c r="C156" s="10"/>
      <c r="D156" s="17">
        <f t="shared" ref="D156:D157" si="89">SUM(E156:G156)</f>
        <v>0</v>
      </c>
      <c r="E156" s="14"/>
      <c r="F156" s="14"/>
      <c r="G156" s="14"/>
      <c r="H156" s="408"/>
      <c r="I156" s="408"/>
      <c r="J156" s="17">
        <f t="shared" ref="J156" si="90">D156-H156</f>
        <v>0</v>
      </c>
      <c r="K156" s="52"/>
    </row>
    <row r="157" spans="1:11" s="20" customFormat="1" ht="38.25" x14ac:dyDescent="0.45">
      <c r="A157" s="25">
        <v>6</v>
      </c>
      <c r="B157" s="19" t="s">
        <v>921</v>
      </c>
      <c r="C157" s="10"/>
      <c r="D157" s="14">
        <f t="shared" si="89"/>
        <v>257.41199999999981</v>
      </c>
      <c r="E157" s="14">
        <v>257.41199999999981</v>
      </c>
      <c r="F157" s="14"/>
      <c r="G157" s="14"/>
      <c r="H157" s="408"/>
      <c r="I157" s="408"/>
      <c r="J157" s="14">
        <f t="shared" si="74"/>
        <v>257.41199999999981</v>
      </c>
      <c r="K157" s="52"/>
    </row>
    <row r="158" spans="1:11" x14ac:dyDescent="0.45">
      <c r="A158" s="8" t="s">
        <v>264</v>
      </c>
      <c r="B158" s="34" t="s">
        <v>265</v>
      </c>
      <c r="C158" s="10"/>
      <c r="D158" s="11">
        <f t="shared" ref="D158:J158" si="91">D159+D164+D165</f>
        <v>13997</v>
      </c>
      <c r="E158" s="11">
        <f t="shared" si="91"/>
        <v>0</v>
      </c>
      <c r="F158" s="11">
        <f t="shared" si="91"/>
        <v>3500</v>
      </c>
      <c r="G158" s="11">
        <f t="shared" si="91"/>
        <v>10497</v>
      </c>
      <c r="H158" s="23">
        <f t="shared" si="91"/>
        <v>378.2</v>
      </c>
      <c r="I158" s="23">
        <f t="shared" si="91"/>
        <v>340.38</v>
      </c>
      <c r="J158" s="11">
        <f t="shared" si="91"/>
        <v>13278.42</v>
      </c>
      <c r="K158" s="405"/>
    </row>
    <row r="159" spans="1:11" ht="48.95" customHeight="1" x14ac:dyDescent="0.45">
      <c r="A159" s="8">
        <v>1</v>
      </c>
      <c r="B159" s="34" t="s">
        <v>912</v>
      </c>
      <c r="C159" s="10"/>
      <c r="D159" s="11">
        <f>SUM(D160:D163)</f>
        <v>10215</v>
      </c>
      <c r="E159" s="11">
        <f t="shared" ref="E159:F159" si="92">SUM(E160:E163)</f>
        <v>0</v>
      </c>
      <c r="F159" s="11">
        <f t="shared" si="92"/>
        <v>0</v>
      </c>
      <c r="G159" s="11">
        <f>SUM(G160:G163)</f>
        <v>10215</v>
      </c>
      <c r="H159" s="23">
        <f t="shared" ref="H159:J159" si="93">SUM(H160:H163)</f>
        <v>0</v>
      </c>
      <c r="I159" s="23">
        <f t="shared" si="93"/>
        <v>0</v>
      </c>
      <c r="J159" s="11">
        <f t="shared" si="93"/>
        <v>10215</v>
      </c>
      <c r="K159" s="405"/>
    </row>
    <row r="160" spans="1:11" ht="26.25" x14ac:dyDescent="0.45">
      <c r="A160" s="15" t="s">
        <v>204</v>
      </c>
      <c r="B160" s="383" t="s">
        <v>917</v>
      </c>
      <c r="C160" s="10"/>
      <c r="D160" s="35">
        <f>SUM(E160:G160)</f>
        <v>1826</v>
      </c>
      <c r="E160" s="17"/>
      <c r="F160" s="17"/>
      <c r="G160" s="17">
        <v>1826</v>
      </c>
      <c r="H160" s="409"/>
      <c r="I160" s="409"/>
      <c r="J160" s="17">
        <f t="shared" ref="J160:J165" si="94">D160-H160-I160</f>
        <v>1826</v>
      </c>
      <c r="K160" s="405"/>
    </row>
    <row r="161" spans="1:11" ht="26.25" x14ac:dyDescent="0.45">
      <c r="A161" s="15" t="s">
        <v>204</v>
      </c>
      <c r="B161" s="383" t="s">
        <v>336</v>
      </c>
      <c r="C161" s="10"/>
      <c r="D161" s="35">
        <f t="shared" ref="D161:D165" si="95">SUM(E161:G161)</f>
        <v>1444</v>
      </c>
      <c r="E161" s="17"/>
      <c r="F161" s="17"/>
      <c r="G161" s="17">
        <v>1444</v>
      </c>
      <c r="H161" s="409"/>
      <c r="I161" s="409"/>
      <c r="J161" s="17">
        <f t="shared" si="94"/>
        <v>1444</v>
      </c>
      <c r="K161" s="405"/>
    </row>
    <row r="162" spans="1:11" ht="39.4" x14ac:dyDescent="0.45">
      <c r="A162" s="15" t="s">
        <v>204</v>
      </c>
      <c r="B162" s="383" t="s">
        <v>337</v>
      </c>
      <c r="C162" s="10"/>
      <c r="D162" s="35">
        <f t="shared" si="95"/>
        <v>147</v>
      </c>
      <c r="E162" s="17"/>
      <c r="F162" s="17"/>
      <c r="G162" s="17">
        <v>147</v>
      </c>
      <c r="H162" s="409"/>
      <c r="I162" s="409"/>
      <c r="J162" s="17">
        <f t="shared" si="94"/>
        <v>147</v>
      </c>
      <c r="K162" s="405"/>
    </row>
    <row r="163" spans="1:11" ht="26.25" x14ac:dyDescent="0.45">
      <c r="A163" s="15" t="s">
        <v>204</v>
      </c>
      <c r="B163" s="383" t="s">
        <v>955</v>
      </c>
      <c r="C163" s="10"/>
      <c r="D163" s="35">
        <f t="shared" si="95"/>
        <v>6798</v>
      </c>
      <c r="E163" s="17"/>
      <c r="F163" s="17"/>
      <c r="G163" s="17">
        <v>6798</v>
      </c>
      <c r="H163" s="409"/>
      <c r="I163" s="409"/>
      <c r="J163" s="17">
        <f t="shared" si="94"/>
        <v>6798</v>
      </c>
      <c r="K163" s="405"/>
    </row>
    <row r="164" spans="1:11" s="20" customFormat="1" ht="41.75" customHeight="1" x14ac:dyDescent="0.45">
      <c r="A164" s="25">
        <v>2</v>
      </c>
      <c r="B164" s="34" t="s">
        <v>918</v>
      </c>
      <c r="C164" s="10"/>
      <c r="D164" s="30">
        <f t="shared" si="95"/>
        <v>3500</v>
      </c>
      <c r="E164" s="14"/>
      <c r="F164" s="14">
        <v>3500</v>
      </c>
      <c r="G164" s="14"/>
      <c r="H164" s="408">
        <f>((F164+G164)*10%)</f>
        <v>350</v>
      </c>
      <c r="I164" s="408">
        <f>((F164+G164-H164)*10%)</f>
        <v>315</v>
      </c>
      <c r="J164" s="14">
        <f t="shared" si="94"/>
        <v>2835</v>
      </c>
      <c r="K164" s="52"/>
    </row>
    <row r="165" spans="1:11" s="20" customFormat="1" ht="32" customHeight="1" x14ac:dyDescent="0.45">
      <c r="A165" s="25">
        <v>3</v>
      </c>
      <c r="B165" s="34" t="s">
        <v>924</v>
      </c>
      <c r="C165" s="10"/>
      <c r="D165" s="30">
        <f t="shared" si="95"/>
        <v>282</v>
      </c>
      <c r="E165" s="14"/>
      <c r="F165" s="14"/>
      <c r="G165" s="14">
        <f>255+27</f>
        <v>282</v>
      </c>
      <c r="H165" s="408">
        <f>(F165+G165)*10%</f>
        <v>28.200000000000003</v>
      </c>
      <c r="I165" s="408">
        <f t="shared" ref="I165" si="96">(F165+G165-H165)*10%</f>
        <v>25.380000000000003</v>
      </c>
      <c r="J165" s="14">
        <f t="shared" si="94"/>
        <v>228.42000000000002</v>
      </c>
      <c r="K165" s="52"/>
    </row>
    <row r="166" spans="1:11" ht="18" customHeight="1" x14ac:dyDescent="0.45">
      <c r="A166" s="8" t="s">
        <v>166</v>
      </c>
      <c r="B166" s="9" t="s">
        <v>266</v>
      </c>
      <c r="C166" s="10"/>
      <c r="D166" s="11">
        <f>D167</f>
        <v>716.66100000000006</v>
      </c>
      <c r="E166" s="11">
        <f t="shared" ref="E166:J166" si="97">E167</f>
        <v>266.661</v>
      </c>
      <c r="F166" s="11">
        <f t="shared" si="97"/>
        <v>25</v>
      </c>
      <c r="G166" s="11">
        <f t="shared" si="97"/>
        <v>425</v>
      </c>
      <c r="H166" s="23">
        <f t="shared" si="97"/>
        <v>5</v>
      </c>
      <c r="I166" s="23">
        <f t="shared" si="97"/>
        <v>4.5</v>
      </c>
      <c r="J166" s="11">
        <f t="shared" si="97"/>
        <v>707.16100000000006</v>
      </c>
      <c r="K166" s="405"/>
    </row>
    <row r="167" spans="1:11" x14ac:dyDescent="0.45">
      <c r="A167" s="25">
        <v>1</v>
      </c>
      <c r="B167" s="28" t="s">
        <v>249</v>
      </c>
      <c r="C167" s="10">
        <v>1</v>
      </c>
      <c r="D167" s="14">
        <f>SUM(D168:D172)</f>
        <v>716.66100000000006</v>
      </c>
      <c r="E167" s="14">
        <f t="shared" ref="E167:J167" si="98">SUM(E168:E172)</f>
        <v>266.661</v>
      </c>
      <c r="F167" s="14">
        <f t="shared" si="98"/>
        <v>25</v>
      </c>
      <c r="G167" s="14">
        <f t="shared" si="98"/>
        <v>425</v>
      </c>
      <c r="H167" s="408">
        <f t="shared" si="98"/>
        <v>5</v>
      </c>
      <c r="I167" s="408">
        <f t="shared" ref="I167" si="99">SUM(I168:I172)</f>
        <v>4.5</v>
      </c>
      <c r="J167" s="14">
        <f t="shared" si="98"/>
        <v>707.16100000000006</v>
      </c>
      <c r="K167" s="52"/>
    </row>
    <row r="168" spans="1:11" ht="26.25" x14ac:dyDescent="0.45">
      <c r="A168" s="8" t="s">
        <v>204</v>
      </c>
      <c r="B168" s="16" t="s">
        <v>205</v>
      </c>
      <c r="C168" s="10"/>
      <c r="D168" s="17">
        <f>SUM(E168:G168)</f>
        <v>281.38400000000001</v>
      </c>
      <c r="E168" s="17">
        <v>256.38400000000001</v>
      </c>
      <c r="F168" s="17">
        <v>25</v>
      </c>
      <c r="G168" s="17"/>
      <c r="H168" s="409">
        <f t="shared" ref="H168:H172" si="100">(F168+G168)*10%</f>
        <v>2.5</v>
      </c>
      <c r="I168" s="409">
        <f t="shared" ref="I168:I172" si="101">(F168+G168-H168)*10%</f>
        <v>2.25</v>
      </c>
      <c r="J168" s="17">
        <f t="shared" ref="J168:J172" si="102">D168-H168-I168</f>
        <v>276.63400000000001</v>
      </c>
      <c r="K168" s="52"/>
    </row>
    <row r="169" spans="1:11" x14ac:dyDescent="0.45">
      <c r="A169" s="8" t="s">
        <v>204</v>
      </c>
      <c r="B169" s="22" t="s">
        <v>206</v>
      </c>
      <c r="C169" s="10"/>
      <c r="D169" s="17">
        <f t="shared" ref="D169:D172" si="103">SUM(E169:G169)</f>
        <v>10.276999999999999</v>
      </c>
      <c r="E169" s="17">
        <v>10.276999999999999</v>
      </c>
      <c r="F169" s="17"/>
      <c r="G169" s="17"/>
      <c r="H169" s="409">
        <f t="shared" si="100"/>
        <v>0</v>
      </c>
      <c r="I169" s="409">
        <f t="shared" si="101"/>
        <v>0</v>
      </c>
      <c r="J169" s="17">
        <f t="shared" si="102"/>
        <v>10.276999999999999</v>
      </c>
      <c r="K169" s="52"/>
    </row>
    <row r="170" spans="1:11" ht="16.899999999999999" customHeight="1" x14ac:dyDescent="0.45">
      <c r="A170" s="8" t="s">
        <v>204</v>
      </c>
      <c r="B170" s="22" t="s">
        <v>250</v>
      </c>
      <c r="C170" s="10"/>
      <c r="D170" s="17">
        <f t="shared" si="103"/>
        <v>400</v>
      </c>
      <c r="E170" s="17"/>
      <c r="F170" s="17"/>
      <c r="G170" s="17">
        <v>400</v>
      </c>
      <c r="H170" s="409"/>
      <c r="I170" s="409"/>
      <c r="J170" s="17">
        <f t="shared" si="102"/>
        <v>400</v>
      </c>
      <c r="K170" s="52"/>
    </row>
    <row r="171" spans="1:11" x14ac:dyDescent="0.45">
      <c r="A171" s="8"/>
      <c r="B171" s="22" t="s">
        <v>355</v>
      </c>
      <c r="C171" s="10"/>
      <c r="D171" s="17">
        <f t="shared" si="103"/>
        <v>15</v>
      </c>
      <c r="E171" s="17"/>
      <c r="F171" s="17"/>
      <c r="G171" s="17">
        <v>15</v>
      </c>
      <c r="H171" s="409">
        <f t="shared" si="100"/>
        <v>1.5</v>
      </c>
      <c r="I171" s="409">
        <f t="shared" si="101"/>
        <v>1.35</v>
      </c>
      <c r="J171" s="17">
        <f t="shared" si="102"/>
        <v>12.15</v>
      </c>
      <c r="K171" s="52"/>
    </row>
    <row r="172" spans="1:11" x14ac:dyDescent="0.45">
      <c r="A172" s="8"/>
      <c r="B172" s="22" t="s">
        <v>356</v>
      </c>
      <c r="C172" s="10"/>
      <c r="D172" s="17">
        <f t="shared" si="103"/>
        <v>10</v>
      </c>
      <c r="E172" s="17"/>
      <c r="F172" s="17"/>
      <c r="G172" s="17">
        <v>10</v>
      </c>
      <c r="H172" s="409">
        <f t="shared" si="100"/>
        <v>1</v>
      </c>
      <c r="I172" s="409">
        <f t="shared" si="101"/>
        <v>0.9</v>
      </c>
      <c r="J172" s="17">
        <f t="shared" si="102"/>
        <v>8.1</v>
      </c>
      <c r="K172" s="52"/>
    </row>
    <row r="173" spans="1:11" x14ac:dyDescent="0.45">
      <c r="A173" s="8" t="s">
        <v>267</v>
      </c>
      <c r="B173" s="9" t="s">
        <v>268</v>
      </c>
      <c r="C173" s="10"/>
      <c r="D173" s="14">
        <f>D174</f>
        <v>210</v>
      </c>
      <c r="E173" s="14">
        <f t="shared" ref="E173:J173" si="104">E174</f>
        <v>0</v>
      </c>
      <c r="F173" s="14">
        <f t="shared" si="104"/>
        <v>0</v>
      </c>
      <c r="G173" s="14">
        <f t="shared" si="104"/>
        <v>210</v>
      </c>
      <c r="H173" s="408">
        <f t="shared" si="104"/>
        <v>21</v>
      </c>
      <c r="I173" s="408">
        <f t="shared" si="104"/>
        <v>18.899999999999999</v>
      </c>
      <c r="J173" s="14">
        <f t="shared" si="104"/>
        <v>170.1</v>
      </c>
      <c r="K173" s="52"/>
    </row>
    <row r="174" spans="1:11" s="20" customFormat="1" x14ac:dyDescent="0.45">
      <c r="A174" s="25">
        <v>1</v>
      </c>
      <c r="B174" s="19" t="s">
        <v>333</v>
      </c>
      <c r="C174" s="10"/>
      <c r="D174" s="30">
        <f t="shared" ref="D174:J174" si="105">SUM(D175:D179)</f>
        <v>210</v>
      </c>
      <c r="E174" s="30">
        <f t="shared" si="105"/>
        <v>0</v>
      </c>
      <c r="F174" s="30">
        <f t="shared" si="105"/>
        <v>0</v>
      </c>
      <c r="G174" s="30">
        <f t="shared" si="105"/>
        <v>210</v>
      </c>
      <c r="H174" s="410">
        <f t="shared" si="105"/>
        <v>21</v>
      </c>
      <c r="I174" s="410">
        <f t="shared" si="105"/>
        <v>18.899999999999999</v>
      </c>
      <c r="J174" s="30">
        <f t="shared" si="105"/>
        <v>170.1</v>
      </c>
      <c r="K174" s="375"/>
    </row>
    <row r="175" spans="1:11" ht="26.25" x14ac:dyDescent="0.45">
      <c r="A175" s="25" t="s">
        <v>204</v>
      </c>
      <c r="B175" s="22" t="s">
        <v>364</v>
      </c>
      <c r="C175" s="10"/>
      <c r="D175" s="35">
        <f t="shared" ref="D175:D179" si="106">SUM(E175:G175)</f>
        <v>70</v>
      </c>
      <c r="E175" s="17"/>
      <c r="F175" s="17"/>
      <c r="G175" s="17">
        <v>70</v>
      </c>
      <c r="H175" s="409">
        <f t="shared" ref="H175:H179" si="107">(F175+G175)*10%</f>
        <v>7</v>
      </c>
      <c r="I175" s="409">
        <f t="shared" ref="I175:I179" si="108">(F175+G175-H175)*10%</f>
        <v>6.3000000000000007</v>
      </c>
      <c r="J175" s="17">
        <f t="shared" ref="J175:J179" si="109">D175-H175-I175</f>
        <v>56.7</v>
      </c>
      <c r="K175" s="52"/>
    </row>
    <row r="176" spans="1:11" ht="26.25" x14ac:dyDescent="0.45">
      <c r="A176" s="25" t="s">
        <v>204</v>
      </c>
      <c r="B176" s="22" t="s">
        <v>365</v>
      </c>
      <c r="C176" s="10"/>
      <c r="D176" s="35">
        <f t="shared" si="106"/>
        <v>30</v>
      </c>
      <c r="E176" s="17"/>
      <c r="F176" s="17"/>
      <c r="G176" s="17">
        <v>30</v>
      </c>
      <c r="H176" s="409">
        <f t="shared" si="107"/>
        <v>3</v>
      </c>
      <c r="I176" s="409">
        <f t="shared" si="108"/>
        <v>2.7</v>
      </c>
      <c r="J176" s="17">
        <f t="shared" si="109"/>
        <v>24.3</v>
      </c>
      <c r="K176" s="52"/>
    </row>
    <row r="177" spans="1:11" ht="52.5" x14ac:dyDescent="0.45">
      <c r="A177" s="25" t="s">
        <v>204</v>
      </c>
      <c r="B177" s="22" t="s">
        <v>362</v>
      </c>
      <c r="C177" s="10"/>
      <c r="D177" s="35">
        <f t="shared" si="106"/>
        <v>30</v>
      </c>
      <c r="E177" s="17"/>
      <c r="F177" s="17"/>
      <c r="G177" s="17">
        <v>30</v>
      </c>
      <c r="H177" s="409">
        <f t="shared" si="107"/>
        <v>3</v>
      </c>
      <c r="I177" s="409">
        <f t="shared" si="108"/>
        <v>2.7</v>
      </c>
      <c r="J177" s="17">
        <f t="shared" si="109"/>
        <v>24.3</v>
      </c>
      <c r="K177" s="52"/>
    </row>
    <row r="178" spans="1:11" ht="26.25" x14ac:dyDescent="0.45">
      <c r="A178" s="25" t="s">
        <v>204</v>
      </c>
      <c r="B178" s="22" t="s">
        <v>363</v>
      </c>
      <c r="C178" s="10"/>
      <c r="D178" s="35">
        <f t="shared" si="106"/>
        <v>40</v>
      </c>
      <c r="E178" s="17"/>
      <c r="F178" s="17"/>
      <c r="G178" s="17">
        <v>40</v>
      </c>
      <c r="H178" s="409">
        <f t="shared" si="107"/>
        <v>4</v>
      </c>
      <c r="I178" s="409">
        <f t="shared" si="108"/>
        <v>3.6</v>
      </c>
      <c r="J178" s="17">
        <f t="shared" si="109"/>
        <v>32.4</v>
      </c>
      <c r="K178" s="52"/>
    </row>
    <row r="179" spans="1:11" ht="26.25" x14ac:dyDescent="0.45">
      <c r="A179" s="25" t="s">
        <v>204</v>
      </c>
      <c r="B179" s="22" t="s">
        <v>932</v>
      </c>
      <c r="C179" s="10"/>
      <c r="D179" s="35">
        <f t="shared" si="106"/>
        <v>40</v>
      </c>
      <c r="E179" s="17"/>
      <c r="F179" s="17"/>
      <c r="G179" s="17">
        <v>40</v>
      </c>
      <c r="H179" s="409">
        <f t="shared" si="107"/>
        <v>4</v>
      </c>
      <c r="I179" s="409">
        <f t="shared" si="108"/>
        <v>3.6</v>
      </c>
      <c r="J179" s="17">
        <f t="shared" si="109"/>
        <v>32.4</v>
      </c>
      <c r="K179" s="52"/>
    </row>
    <row r="180" spans="1:11" s="20" customFormat="1" ht="14.75" customHeight="1" x14ac:dyDescent="0.45">
      <c r="A180" s="8" t="s">
        <v>269</v>
      </c>
      <c r="B180" s="9" t="s">
        <v>270</v>
      </c>
      <c r="C180" s="10"/>
      <c r="D180" s="14">
        <f t="shared" ref="D180:J180" si="110">D181</f>
        <v>50</v>
      </c>
      <c r="E180" s="14">
        <f t="shared" si="110"/>
        <v>0</v>
      </c>
      <c r="F180" s="14">
        <f t="shared" si="110"/>
        <v>0</v>
      </c>
      <c r="G180" s="14">
        <f t="shared" si="110"/>
        <v>50</v>
      </c>
      <c r="H180" s="408">
        <f t="shared" si="110"/>
        <v>5</v>
      </c>
      <c r="I180" s="408">
        <f t="shared" si="110"/>
        <v>4.5</v>
      </c>
      <c r="J180" s="14">
        <f t="shared" si="110"/>
        <v>40.5</v>
      </c>
      <c r="K180" s="52"/>
    </row>
    <row r="181" spans="1:11" s="20" customFormat="1" x14ac:dyDescent="0.45">
      <c r="A181" s="25">
        <v>1</v>
      </c>
      <c r="B181" s="19" t="s">
        <v>333</v>
      </c>
      <c r="C181" s="10"/>
      <c r="D181" s="14">
        <f>D182</f>
        <v>50</v>
      </c>
      <c r="E181" s="14">
        <f t="shared" ref="E181:J181" si="111">E182</f>
        <v>0</v>
      </c>
      <c r="F181" s="14">
        <f t="shared" si="111"/>
        <v>0</v>
      </c>
      <c r="G181" s="14">
        <f t="shared" si="111"/>
        <v>50</v>
      </c>
      <c r="H181" s="408">
        <f t="shared" si="111"/>
        <v>5</v>
      </c>
      <c r="I181" s="408">
        <f t="shared" si="111"/>
        <v>4.5</v>
      </c>
      <c r="J181" s="14">
        <f t="shared" si="111"/>
        <v>40.5</v>
      </c>
      <c r="K181" s="52"/>
    </row>
    <row r="182" spans="1:11" s="20" customFormat="1" x14ac:dyDescent="0.45">
      <c r="A182" s="8" t="s">
        <v>204</v>
      </c>
      <c r="B182" s="22" t="s">
        <v>271</v>
      </c>
      <c r="C182" s="10"/>
      <c r="D182" s="35">
        <f t="shared" ref="D182:D189" si="112">SUM(E182:G182)</f>
        <v>50</v>
      </c>
      <c r="E182" s="14"/>
      <c r="F182" s="35"/>
      <c r="G182" s="35">
        <v>50</v>
      </c>
      <c r="H182" s="409">
        <f t="shared" ref="H182" si="113">(F182+G182)*10%</f>
        <v>5</v>
      </c>
      <c r="I182" s="409">
        <f t="shared" ref="I182" si="114">(F182+G182-H182)*10%</f>
        <v>4.5</v>
      </c>
      <c r="J182" s="17">
        <f t="shared" ref="J182" si="115">D182-H182-I182</f>
        <v>40.5</v>
      </c>
      <c r="K182" s="52"/>
    </row>
    <row r="183" spans="1:11" ht="27" customHeight="1" x14ac:dyDescent="0.45">
      <c r="A183" s="8" t="s">
        <v>272</v>
      </c>
      <c r="B183" s="9" t="s">
        <v>334</v>
      </c>
      <c r="C183" s="10"/>
      <c r="D183" s="14">
        <f>D184</f>
        <v>200</v>
      </c>
      <c r="E183" s="14">
        <f t="shared" ref="E183:J183" si="116">E184</f>
        <v>0</v>
      </c>
      <c r="F183" s="14">
        <f t="shared" si="116"/>
        <v>0</v>
      </c>
      <c r="G183" s="14">
        <f t="shared" si="116"/>
        <v>200</v>
      </c>
      <c r="H183" s="408">
        <f t="shared" si="116"/>
        <v>20</v>
      </c>
      <c r="I183" s="408">
        <f t="shared" si="116"/>
        <v>18</v>
      </c>
      <c r="J183" s="14">
        <f t="shared" si="116"/>
        <v>162</v>
      </c>
      <c r="K183" s="52"/>
    </row>
    <row r="184" spans="1:11" ht="15" customHeight="1" x14ac:dyDescent="0.45">
      <c r="A184" s="8">
        <v>1</v>
      </c>
      <c r="B184" s="9" t="s">
        <v>333</v>
      </c>
      <c r="C184" s="10"/>
      <c r="D184" s="14">
        <f t="shared" ref="D184:J184" si="117">SUM(D185:D189)</f>
        <v>200</v>
      </c>
      <c r="E184" s="14">
        <f t="shared" si="117"/>
        <v>0</v>
      </c>
      <c r="F184" s="14">
        <f t="shared" si="117"/>
        <v>0</v>
      </c>
      <c r="G184" s="14">
        <f t="shared" si="117"/>
        <v>200</v>
      </c>
      <c r="H184" s="408">
        <f t="shared" si="117"/>
        <v>20</v>
      </c>
      <c r="I184" s="408">
        <f t="shared" si="117"/>
        <v>18</v>
      </c>
      <c r="J184" s="14">
        <f t="shared" si="117"/>
        <v>162</v>
      </c>
      <c r="K184" s="52"/>
    </row>
    <row r="185" spans="1:11" ht="26.25" x14ac:dyDescent="0.45">
      <c r="A185" s="25" t="s">
        <v>204</v>
      </c>
      <c r="B185" s="22" t="s">
        <v>273</v>
      </c>
      <c r="C185" s="10"/>
      <c r="D185" s="35">
        <f t="shared" si="112"/>
        <v>80</v>
      </c>
      <c r="E185" s="17"/>
      <c r="F185" s="17"/>
      <c r="G185" s="17">
        <v>80</v>
      </c>
      <c r="H185" s="409">
        <f t="shared" ref="H185:H189" si="118">(F185+G185)*10%</f>
        <v>8</v>
      </c>
      <c r="I185" s="409">
        <f t="shared" ref="I185:I189" si="119">(F185+G185-H185)*10%</f>
        <v>7.2</v>
      </c>
      <c r="J185" s="17">
        <f t="shared" ref="J185:J189" si="120">D185-H185-I185</f>
        <v>64.8</v>
      </c>
      <c r="K185" s="52"/>
    </row>
    <row r="186" spans="1:11" x14ac:dyDescent="0.45">
      <c r="A186" s="25" t="s">
        <v>204</v>
      </c>
      <c r="B186" s="22" t="s">
        <v>360</v>
      </c>
      <c r="C186" s="10"/>
      <c r="D186" s="35">
        <f t="shared" si="112"/>
        <v>20</v>
      </c>
      <c r="E186" s="17"/>
      <c r="F186" s="17"/>
      <c r="G186" s="17">
        <v>20</v>
      </c>
      <c r="H186" s="409">
        <f t="shared" si="118"/>
        <v>2</v>
      </c>
      <c r="I186" s="409">
        <f t="shared" si="119"/>
        <v>1.8</v>
      </c>
      <c r="J186" s="17">
        <f t="shared" si="120"/>
        <v>16.2</v>
      </c>
      <c r="K186" s="52"/>
    </row>
    <row r="187" spans="1:11" ht="26.25" x14ac:dyDescent="0.45">
      <c r="A187" s="25" t="s">
        <v>204</v>
      </c>
      <c r="B187" s="22" t="s">
        <v>359</v>
      </c>
      <c r="C187" s="10"/>
      <c r="D187" s="35">
        <f t="shared" si="112"/>
        <v>30</v>
      </c>
      <c r="E187" s="17"/>
      <c r="F187" s="17"/>
      <c r="G187" s="17">
        <v>30</v>
      </c>
      <c r="H187" s="409">
        <f t="shared" si="118"/>
        <v>3</v>
      </c>
      <c r="I187" s="409">
        <f t="shared" si="119"/>
        <v>2.7</v>
      </c>
      <c r="J187" s="17">
        <f t="shared" si="120"/>
        <v>24.3</v>
      </c>
      <c r="K187" s="52"/>
    </row>
    <row r="188" spans="1:11" ht="26.25" x14ac:dyDescent="0.45">
      <c r="A188" s="25" t="s">
        <v>204</v>
      </c>
      <c r="B188" s="22" t="s">
        <v>361</v>
      </c>
      <c r="C188" s="10"/>
      <c r="D188" s="35">
        <f t="shared" si="112"/>
        <v>30</v>
      </c>
      <c r="E188" s="17"/>
      <c r="F188" s="17"/>
      <c r="G188" s="17">
        <v>30</v>
      </c>
      <c r="H188" s="409">
        <f t="shared" si="118"/>
        <v>3</v>
      </c>
      <c r="I188" s="409">
        <f t="shared" si="119"/>
        <v>2.7</v>
      </c>
      <c r="J188" s="17">
        <f t="shared" si="120"/>
        <v>24.3</v>
      </c>
      <c r="K188" s="52"/>
    </row>
    <row r="189" spans="1:11" x14ac:dyDescent="0.45">
      <c r="A189" s="25" t="s">
        <v>204</v>
      </c>
      <c r="B189" s="22" t="s">
        <v>274</v>
      </c>
      <c r="C189" s="10"/>
      <c r="D189" s="35">
        <f t="shared" si="112"/>
        <v>40</v>
      </c>
      <c r="E189" s="17"/>
      <c r="F189" s="17"/>
      <c r="G189" s="17">
        <v>40</v>
      </c>
      <c r="H189" s="409">
        <f t="shared" si="118"/>
        <v>4</v>
      </c>
      <c r="I189" s="409">
        <f t="shared" si="119"/>
        <v>3.6</v>
      </c>
      <c r="J189" s="17">
        <f t="shared" si="120"/>
        <v>32.4</v>
      </c>
      <c r="K189" s="52"/>
    </row>
    <row r="190" spans="1:11" s="20" customFormat="1" ht="25.5" customHeight="1" x14ac:dyDescent="0.45">
      <c r="A190" s="25" t="s">
        <v>275</v>
      </c>
      <c r="B190" s="19" t="s">
        <v>276</v>
      </c>
      <c r="C190" s="10"/>
      <c r="D190" s="14">
        <f>D191</f>
        <v>10</v>
      </c>
      <c r="E190" s="14">
        <f t="shared" ref="E190:J190" si="121">E191</f>
        <v>0</v>
      </c>
      <c r="F190" s="14">
        <f t="shared" si="121"/>
        <v>0</v>
      </c>
      <c r="G190" s="14">
        <f t="shared" si="121"/>
        <v>10</v>
      </c>
      <c r="H190" s="408">
        <f t="shared" si="121"/>
        <v>1</v>
      </c>
      <c r="I190" s="408">
        <f t="shared" si="121"/>
        <v>0.9</v>
      </c>
      <c r="J190" s="14">
        <f t="shared" si="121"/>
        <v>8.1</v>
      </c>
      <c r="K190" s="52"/>
    </row>
    <row r="191" spans="1:11" s="20" customFormat="1" ht="32.75" customHeight="1" x14ac:dyDescent="0.45">
      <c r="A191" s="15" t="s">
        <v>204</v>
      </c>
      <c r="B191" s="22" t="s">
        <v>989</v>
      </c>
      <c r="C191" s="10"/>
      <c r="D191" s="35">
        <f t="shared" ref="D191:D195" si="122">SUM(E191:G191)</f>
        <v>10</v>
      </c>
      <c r="E191" s="14"/>
      <c r="F191" s="14"/>
      <c r="G191" s="17">
        <v>10</v>
      </c>
      <c r="H191" s="409">
        <f t="shared" ref="H191" si="123">(F191+G191)*10%</f>
        <v>1</v>
      </c>
      <c r="I191" s="409">
        <f t="shared" ref="I191" si="124">(F191+G191-H191)*10%</f>
        <v>0.9</v>
      </c>
      <c r="J191" s="17">
        <f t="shared" ref="J191" si="125">D191-H191-I191</f>
        <v>8.1</v>
      </c>
      <c r="K191" s="52"/>
    </row>
    <row r="192" spans="1:11" s="20" customFormat="1" ht="15.95" customHeight="1" x14ac:dyDescent="0.45">
      <c r="A192" s="8" t="s">
        <v>277</v>
      </c>
      <c r="B192" s="19" t="s">
        <v>278</v>
      </c>
      <c r="C192" s="10"/>
      <c r="D192" s="30">
        <f t="shared" ref="D192:J192" si="126">SUM(D193:D195)</f>
        <v>2702</v>
      </c>
      <c r="E192" s="30">
        <f t="shared" si="126"/>
        <v>0</v>
      </c>
      <c r="F192" s="30">
        <f t="shared" si="126"/>
        <v>0</v>
      </c>
      <c r="G192" s="30">
        <f t="shared" si="126"/>
        <v>2702</v>
      </c>
      <c r="H192" s="410">
        <f t="shared" si="126"/>
        <v>0</v>
      </c>
      <c r="I192" s="410">
        <f t="shared" si="126"/>
        <v>0</v>
      </c>
      <c r="J192" s="30">
        <f t="shared" si="126"/>
        <v>2702</v>
      </c>
      <c r="K192" s="375"/>
    </row>
    <row r="193" spans="1:13" ht="15.95" customHeight="1" x14ac:dyDescent="0.45">
      <c r="A193" s="8" t="s">
        <v>204</v>
      </c>
      <c r="B193" s="22" t="s">
        <v>279</v>
      </c>
      <c r="C193" s="10"/>
      <c r="D193" s="35">
        <f t="shared" si="122"/>
        <v>2221</v>
      </c>
      <c r="E193" s="35"/>
      <c r="F193" s="35"/>
      <c r="G193" s="35">
        <v>2221</v>
      </c>
      <c r="H193" s="409"/>
      <c r="I193" s="409"/>
      <c r="J193" s="17">
        <f t="shared" ref="J193:J195" si="127">D193-H193-I193</f>
        <v>2221</v>
      </c>
      <c r="K193" s="375"/>
    </row>
    <row r="194" spans="1:13" ht="31.5" customHeight="1" x14ac:dyDescent="0.45">
      <c r="A194" s="8" t="s">
        <v>204</v>
      </c>
      <c r="B194" s="22" t="s">
        <v>339</v>
      </c>
      <c r="C194" s="10"/>
      <c r="D194" s="35">
        <f t="shared" si="122"/>
        <v>377</v>
      </c>
      <c r="E194" s="35"/>
      <c r="F194" s="35"/>
      <c r="G194" s="35">
        <v>377</v>
      </c>
      <c r="H194" s="409"/>
      <c r="I194" s="409"/>
      <c r="J194" s="17">
        <f t="shared" si="127"/>
        <v>377</v>
      </c>
      <c r="K194" s="375"/>
    </row>
    <row r="195" spans="1:13" ht="59.35" customHeight="1" x14ac:dyDescent="0.45">
      <c r="A195" s="8" t="s">
        <v>204</v>
      </c>
      <c r="B195" s="22" t="s">
        <v>956</v>
      </c>
      <c r="C195" s="10"/>
      <c r="D195" s="35">
        <f t="shared" si="122"/>
        <v>104</v>
      </c>
      <c r="E195" s="35"/>
      <c r="F195" s="35"/>
      <c r="G195" s="35">
        <v>104</v>
      </c>
      <c r="H195" s="409"/>
      <c r="I195" s="409"/>
      <c r="J195" s="17">
        <f t="shared" si="127"/>
        <v>104</v>
      </c>
      <c r="K195" s="375"/>
    </row>
    <row r="196" spans="1:13" x14ac:dyDescent="0.45">
      <c r="A196" s="8" t="s">
        <v>280</v>
      </c>
      <c r="B196" s="19" t="s">
        <v>281</v>
      </c>
      <c r="C196" s="10"/>
      <c r="D196" s="11">
        <f t="shared" ref="D196:J196" si="128">D197+D210+D211</f>
        <v>5296.5709999999999</v>
      </c>
      <c r="E196" s="11">
        <f t="shared" si="128"/>
        <v>2108.5709999999999</v>
      </c>
      <c r="F196" s="11">
        <f t="shared" si="128"/>
        <v>378</v>
      </c>
      <c r="G196" s="11">
        <f t="shared" si="128"/>
        <v>2810</v>
      </c>
      <c r="H196" s="23">
        <f t="shared" si="128"/>
        <v>284.20000000000005</v>
      </c>
      <c r="I196" s="23">
        <f t="shared" ref="I196" si="129">I197+I210+I211</f>
        <v>255.77999999999997</v>
      </c>
      <c r="J196" s="11">
        <f t="shared" si="128"/>
        <v>4756.5909999999994</v>
      </c>
      <c r="K196" s="378"/>
    </row>
    <row r="197" spans="1:13" x14ac:dyDescent="0.45">
      <c r="A197" s="8" t="s">
        <v>163</v>
      </c>
      <c r="B197" s="19" t="s">
        <v>282</v>
      </c>
      <c r="C197" s="10"/>
      <c r="D197" s="14">
        <f>D198+D202</f>
        <v>2971.616</v>
      </c>
      <c r="E197" s="14">
        <f t="shared" ref="E197:J197" si="130">E198+E202</f>
        <v>1954.6159999999998</v>
      </c>
      <c r="F197" s="14">
        <f t="shared" si="130"/>
        <v>351</v>
      </c>
      <c r="G197" s="14">
        <f t="shared" si="130"/>
        <v>666</v>
      </c>
      <c r="H197" s="408">
        <f t="shared" si="130"/>
        <v>67.099999999999994</v>
      </c>
      <c r="I197" s="408">
        <f>I198+I202</f>
        <v>60.39</v>
      </c>
      <c r="J197" s="14">
        <f t="shared" si="130"/>
        <v>2844.1259999999993</v>
      </c>
      <c r="K197" s="52"/>
    </row>
    <row r="198" spans="1:13" x14ac:dyDescent="0.45">
      <c r="A198" s="8">
        <v>1</v>
      </c>
      <c r="B198" s="19" t="s">
        <v>283</v>
      </c>
      <c r="C198" s="10"/>
      <c r="D198" s="14">
        <f>SUM(D199:D201)</f>
        <v>376</v>
      </c>
      <c r="E198" s="14">
        <f t="shared" ref="E198:J198" si="131">SUM(E199:E201)</f>
        <v>0</v>
      </c>
      <c r="F198" s="14">
        <f t="shared" si="131"/>
        <v>0</v>
      </c>
      <c r="G198" s="14">
        <f t="shared" si="131"/>
        <v>376</v>
      </c>
      <c r="H198" s="408">
        <f t="shared" si="131"/>
        <v>3</v>
      </c>
      <c r="I198" s="408">
        <f t="shared" si="131"/>
        <v>2.7</v>
      </c>
      <c r="J198" s="14">
        <f t="shared" si="131"/>
        <v>370.3</v>
      </c>
      <c r="K198" s="52"/>
    </row>
    <row r="199" spans="1:13" x14ac:dyDescent="0.45">
      <c r="A199" s="25" t="s">
        <v>204</v>
      </c>
      <c r="B199" s="22" t="s">
        <v>957</v>
      </c>
      <c r="C199" s="10"/>
      <c r="D199" s="35">
        <f t="shared" ref="D199:D210" si="132">SUM(E199:G199)</f>
        <v>113</v>
      </c>
      <c r="E199" s="14"/>
      <c r="F199" s="14"/>
      <c r="G199" s="17">
        <v>113</v>
      </c>
      <c r="H199" s="409"/>
      <c r="I199" s="409"/>
      <c r="J199" s="17">
        <f t="shared" ref="J199:J210" si="133">D199-H199-I199</f>
        <v>113</v>
      </c>
      <c r="K199" s="52"/>
    </row>
    <row r="200" spans="1:13" x14ac:dyDescent="0.45">
      <c r="A200" s="25" t="s">
        <v>204</v>
      </c>
      <c r="B200" s="22" t="s">
        <v>958</v>
      </c>
      <c r="C200" s="10"/>
      <c r="D200" s="35">
        <f t="shared" si="132"/>
        <v>233</v>
      </c>
      <c r="E200" s="14"/>
      <c r="F200" s="14"/>
      <c r="G200" s="17">
        <v>233</v>
      </c>
      <c r="H200" s="409"/>
      <c r="I200" s="409"/>
      <c r="J200" s="17">
        <f t="shared" si="133"/>
        <v>233</v>
      </c>
      <c r="K200" s="52"/>
    </row>
    <row r="201" spans="1:13" x14ac:dyDescent="0.45">
      <c r="A201" s="25" t="s">
        <v>204</v>
      </c>
      <c r="B201" s="22" t="s">
        <v>284</v>
      </c>
      <c r="C201" s="10"/>
      <c r="D201" s="35">
        <f t="shared" si="132"/>
        <v>30</v>
      </c>
      <c r="E201" s="14"/>
      <c r="F201" s="14"/>
      <c r="G201" s="17">
        <v>30</v>
      </c>
      <c r="H201" s="409">
        <f>(F201+G201)*10%</f>
        <v>3</v>
      </c>
      <c r="I201" s="409">
        <f>(F201+G201-H201)*10%</f>
        <v>2.7</v>
      </c>
      <c r="J201" s="17">
        <f t="shared" si="133"/>
        <v>24.3</v>
      </c>
      <c r="K201" s="52"/>
    </row>
    <row r="202" spans="1:13" x14ac:dyDescent="0.45">
      <c r="A202" s="25">
        <v>2</v>
      </c>
      <c r="B202" s="19" t="s">
        <v>333</v>
      </c>
      <c r="C202" s="10">
        <v>13</v>
      </c>
      <c r="D202" s="30">
        <f>SUM(D203:D209)</f>
        <v>2595.616</v>
      </c>
      <c r="E202" s="30">
        <f>SUM(E203:E209)</f>
        <v>1954.6159999999998</v>
      </c>
      <c r="F202" s="30">
        <f t="shared" ref="F202:J202" si="134">SUM(F203:F209)</f>
        <v>351</v>
      </c>
      <c r="G202" s="30">
        <f t="shared" si="134"/>
        <v>290</v>
      </c>
      <c r="H202" s="410">
        <f t="shared" si="134"/>
        <v>64.099999999999994</v>
      </c>
      <c r="I202" s="410">
        <f t="shared" si="134"/>
        <v>57.69</v>
      </c>
      <c r="J202" s="30">
        <f t="shared" si="134"/>
        <v>2473.8259999999991</v>
      </c>
      <c r="K202" s="375"/>
    </row>
    <row r="203" spans="1:13" ht="26.25" x14ac:dyDescent="0.45">
      <c r="A203" s="25" t="s">
        <v>204</v>
      </c>
      <c r="B203" s="16" t="s">
        <v>205</v>
      </c>
      <c r="C203" s="10"/>
      <c r="D203" s="35">
        <f t="shared" si="132"/>
        <v>2204.5009999999997</v>
      </c>
      <c r="E203" s="17">
        <v>1853.5009999999997</v>
      </c>
      <c r="F203" s="17">
        <f>C202*27</f>
        <v>351</v>
      </c>
      <c r="G203" s="17"/>
      <c r="H203" s="409">
        <f t="shared" ref="H203:H210" si="135">(F203+G203)*10%</f>
        <v>35.1</v>
      </c>
      <c r="I203" s="409">
        <f t="shared" ref="I203:I210" si="136">(F203+G203-H203)*10%</f>
        <v>31.59</v>
      </c>
      <c r="J203" s="17">
        <f t="shared" si="133"/>
        <v>2137.8109999999997</v>
      </c>
      <c r="K203" s="52"/>
      <c r="M203" s="13"/>
    </row>
    <row r="204" spans="1:13" x14ac:dyDescent="0.45">
      <c r="A204" s="25" t="s">
        <v>204</v>
      </c>
      <c r="B204" s="22" t="s">
        <v>206</v>
      </c>
      <c r="C204" s="10"/>
      <c r="D204" s="35">
        <f t="shared" si="132"/>
        <v>101.11500000000001</v>
      </c>
      <c r="E204" s="17">
        <v>101.11500000000001</v>
      </c>
      <c r="F204" s="14"/>
      <c r="G204" s="17"/>
      <c r="H204" s="409">
        <f t="shared" si="135"/>
        <v>0</v>
      </c>
      <c r="I204" s="409">
        <f t="shared" si="136"/>
        <v>0</v>
      </c>
      <c r="J204" s="17">
        <f t="shared" si="133"/>
        <v>101.11500000000001</v>
      </c>
      <c r="K204" s="52"/>
      <c r="M204" s="13"/>
    </row>
    <row r="205" spans="1:13" ht="26.25" x14ac:dyDescent="0.45">
      <c r="A205" s="25" t="s">
        <v>204</v>
      </c>
      <c r="B205" s="22" t="s">
        <v>366</v>
      </c>
      <c r="C205" s="10"/>
      <c r="D205" s="35">
        <f t="shared" si="132"/>
        <v>20</v>
      </c>
      <c r="E205" s="17"/>
      <c r="F205" s="14"/>
      <c r="G205" s="17">
        <v>20</v>
      </c>
      <c r="H205" s="409">
        <f t="shared" si="135"/>
        <v>2</v>
      </c>
      <c r="I205" s="409">
        <f t="shared" si="136"/>
        <v>1.8</v>
      </c>
      <c r="J205" s="17">
        <f t="shared" si="133"/>
        <v>16.2</v>
      </c>
      <c r="K205" s="52"/>
    </row>
    <row r="206" spans="1:13" x14ac:dyDescent="0.45">
      <c r="A206" s="25" t="s">
        <v>204</v>
      </c>
      <c r="B206" s="22" t="s">
        <v>367</v>
      </c>
      <c r="C206" s="10"/>
      <c r="D206" s="35">
        <f t="shared" si="132"/>
        <v>20</v>
      </c>
      <c r="E206" s="17"/>
      <c r="F206" s="14"/>
      <c r="G206" s="17">
        <v>20</v>
      </c>
      <c r="H206" s="409">
        <f t="shared" si="135"/>
        <v>2</v>
      </c>
      <c r="I206" s="409">
        <f t="shared" si="136"/>
        <v>1.8</v>
      </c>
      <c r="J206" s="17">
        <f t="shared" si="133"/>
        <v>16.2</v>
      </c>
      <c r="K206" s="52"/>
    </row>
    <row r="207" spans="1:13" ht="13.9" customHeight="1" x14ac:dyDescent="0.45">
      <c r="A207" s="25" t="s">
        <v>204</v>
      </c>
      <c r="B207" s="22" t="s">
        <v>368</v>
      </c>
      <c r="C207" s="10"/>
      <c r="D207" s="35">
        <f t="shared" si="132"/>
        <v>50</v>
      </c>
      <c r="E207" s="17"/>
      <c r="F207" s="14"/>
      <c r="G207" s="17">
        <v>50</v>
      </c>
      <c r="H207" s="409">
        <f t="shared" si="135"/>
        <v>5</v>
      </c>
      <c r="I207" s="409">
        <f t="shared" si="136"/>
        <v>4.5</v>
      </c>
      <c r="J207" s="17">
        <f t="shared" si="133"/>
        <v>40.5</v>
      </c>
      <c r="K207" s="52"/>
    </row>
    <row r="208" spans="1:13" x14ac:dyDescent="0.45">
      <c r="A208" s="25" t="s">
        <v>204</v>
      </c>
      <c r="B208" s="22" t="s">
        <v>384</v>
      </c>
      <c r="C208" s="10"/>
      <c r="D208" s="35">
        <f t="shared" si="132"/>
        <v>150</v>
      </c>
      <c r="E208" s="17"/>
      <c r="F208" s="14"/>
      <c r="G208" s="17">
        <v>150</v>
      </c>
      <c r="H208" s="409">
        <f t="shared" si="135"/>
        <v>15</v>
      </c>
      <c r="I208" s="409">
        <f t="shared" si="136"/>
        <v>13.5</v>
      </c>
      <c r="J208" s="17">
        <f t="shared" si="133"/>
        <v>121.5</v>
      </c>
      <c r="K208" s="52"/>
    </row>
    <row r="209" spans="1:11" ht="26.25" x14ac:dyDescent="0.45">
      <c r="A209" s="25" t="s">
        <v>204</v>
      </c>
      <c r="B209" s="22" t="s">
        <v>389</v>
      </c>
      <c r="C209" s="10"/>
      <c r="D209" s="35">
        <f t="shared" si="132"/>
        <v>50</v>
      </c>
      <c r="E209" s="14"/>
      <c r="F209" s="14"/>
      <c r="G209" s="17">
        <v>50</v>
      </c>
      <c r="H209" s="409">
        <f t="shared" si="135"/>
        <v>5</v>
      </c>
      <c r="I209" s="409">
        <f t="shared" si="136"/>
        <v>4.5</v>
      </c>
      <c r="J209" s="17">
        <f t="shared" si="133"/>
        <v>40.5</v>
      </c>
      <c r="K209" s="52"/>
    </row>
    <row r="210" spans="1:11" ht="51" x14ac:dyDescent="0.45">
      <c r="A210" s="8" t="s">
        <v>166</v>
      </c>
      <c r="B210" s="19" t="s">
        <v>373</v>
      </c>
      <c r="C210" s="10"/>
      <c r="D210" s="30">
        <f t="shared" si="132"/>
        <v>40</v>
      </c>
      <c r="E210" s="14"/>
      <c r="F210" s="14"/>
      <c r="G210" s="14">
        <v>40</v>
      </c>
      <c r="H210" s="408">
        <f t="shared" si="135"/>
        <v>4</v>
      </c>
      <c r="I210" s="408">
        <f t="shared" si="136"/>
        <v>3.6</v>
      </c>
      <c r="J210" s="14">
        <f t="shared" si="133"/>
        <v>32.4</v>
      </c>
      <c r="K210" s="52"/>
    </row>
    <row r="211" spans="1:11" x14ac:dyDescent="0.45">
      <c r="A211" s="8" t="s">
        <v>184</v>
      </c>
      <c r="B211" s="19" t="s">
        <v>285</v>
      </c>
      <c r="C211" s="10"/>
      <c r="D211" s="14">
        <f>D212+D221</f>
        <v>2284.9549999999999</v>
      </c>
      <c r="E211" s="14">
        <f t="shared" ref="E211:J211" si="137">E212+E221</f>
        <v>153.95499999999998</v>
      </c>
      <c r="F211" s="14">
        <f t="shared" si="137"/>
        <v>27</v>
      </c>
      <c r="G211" s="14">
        <f t="shared" si="137"/>
        <v>2104</v>
      </c>
      <c r="H211" s="408">
        <f t="shared" si="137"/>
        <v>213.10000000000002</v>
      </c>
      <c r="I211" s="408">
        <f t="shared" ref="I211" si="138">I212+I221</f>
        <v>191.78999999999996</v>
      </c>
      <c r="J211" s="14">
        <f t="shared" si="137"/>
        <v>1880.0650000000001</v>
      </c>
      <c r="K211" s="52"/>
    </row>
    <row r="212" spans="1:11" ht="27.4" customHeight="1" x14ac:dyDescent="0.45">
      <c r="A212" s="25">
        <v>1</v>
      </c>
      <c r="B212" s="19" t="s">
        <v>914</v>
      </c>
      <c r="C212" s="10">
        <v>1</v>
      </c>
      <c r="D212" s="30">
        <f>SUM(D213:D220)</f>
        <v>890.95499999999993</v>
      </c>
      <c r="E212" s="30">
        <f t="shared" ref="E212:J212" si="139">SUM(E213:E220)</f>
        <v>153.95499999999998</v>
      </c>
      <c r="F212" s="30">
        <f t="shared" si="139"/>
        <v>27</v>
      </c>
      <c r="G212" s="30">
        <f t="shared" si="139"/>
        <v>710</v>
      </c>
      <c r="H212" s="410">
        <f t="shared" si="139"/>
        <v>73.7</v>
      </c>
      <c r="I212" s="410">
        <f t="shared" ref="I212" si="140">SUM(I213:I220)</f>
        <v>66.33</v>
      </c>
      <c r="J212" s="30">
        <f t="shared" si="139"/>
        <v>750.92499999999995</v>
      </c>
      <c r="K212" s="52"/>
    </row>
    <row r="213" spans="1:11" ht="30.85" customHeight="1" x14ac:dyDescent="0.45">
      <c r="A213" s="25" t="s">
        <v>204</v>
      </c>
      <c r="B213" s="16" t="s">
        <v>205</v>
      </c>
      <c r="C213" s="10"/>
      <c r="D213" s="35">
        <f t="shared" ref="D213:D220" si="141">SUM(E213:G213)</f>
        <v>173.458</v>
      </c>
      <c r="E213" s="35">
        <v>146.458</v>
      </c>
      <c r="F213" s="17">
        <v>27</v>
      </c>
      <c r="G213" s="30"/>
      <c r="H213" s="409">
        <f t="shared" ref="H213" si="142">(F213+G213)*10%</f>
        <v>2.7</v>
      </c>
      <c r="I213" s="409">
        <f t="shared" ref="I213:I231" si="143">(F213+G213-H213)*10%</f>
        <v>2.4300000000000002</v>
      </c>
      <c r="J213" s="17">
        <f t="shared" ref="J213:J231" si="144">D213-H213-I213</f>
        <v>168.328</v>
      </c>
      <c r="K213" s="52"/>
    </row>
    <row r="214" spans="1:11" ht="15.95" customHeight="1" x14ac:dyDescent="0.45">
      <c r="A214" s="25" t="s">
        <v>204</v>
      </c>
      <c r="B214" s="22" t="s">
        <v>206</v>
      </c>
      <c r="C214" s="10"/>
      <c r="D214" s="35">
        <f t="shared" si="141"/>
        <v>7.4969999999999999</v>
      </c>
      <c r="E214" s="35">
        <v>7.4969999999999999</v>
      </c>
      <c r="F214" s="30"/>
      <c r="G214" s="30"/>
      <c r="H214" s="410"/>
      <c r="I214" s="409">
        <f t="shared" si="143"/>
        <v>0</v>
      </c>
      <c r="J214" s="17">
        <f>D214-H214-I214</f>
        <v>7.4969999999999999</v>
      </c>
      <c r="K214" s="52"/>
    </row>
    <row r="215" spans="1:11" ht="28.9" customHeight="1" x14ac:dyDescent="0.45">
      <c r="A215" s="8" t="s">
        <v>204</v>
      </c>
      <c r="B215" s="22" t="s">
        <v>369</v>
      </c>
      <c r="C215" s="10"/>
      <c r="D215" s="35">
        <f t="shared" si="141"/>
        <v>350</v>
      </c>
      <c r="E215" s="17"/>
      <c r="F215" s="17"/>
      <c r="G215" s="17">
        <v>350</v>
      </c>
      <c r="H215" s="409">
        <f t="shared" ref="H215:H220" si="145">(F215+G215)*10%</f>
        <v>35</v>
      </c>
      <c r="I215" s="409">
        <f t="shared" si="143"/>
        <v>31.5</v>
      </c>
      <c r="J215" s="17">
        <f>D215-H215-I215</f>
        <v>283.5</v>
      </c>
      <c r="K215" s="52"/>
    </row>
    <row r="216" spans="1:11" ht="30.85" customHeight="1" x14ac:dyDescent="0.45">
      <c r="A216" s="8" t="s">
        <v>204</v>
      </c>
      <c r="B216" s="22" t="s">
        <v>960</v>
      </c>
      <c r="C216" s="10"/>
      <c r="D216" s="35">
        <f t="shared" si="141"/>
        <v>100</v>
      </c>
      <c r="E216" s="17"/>
      <c r="F216" s="17"/>
      <c r="G216" s="17">
        <v>100</v>
      </c>
      <c r="H216" s="409">
        <f t="shared" si="145"/>
        <v>10</v>
      </c>
      <c r="I216" s="409">
        <f t="shared" si="143"/>
        <v>9</v>
      </c>
      <c r="J216" s="17">
        <f t="shared" si="144"/>
        <v>81</v>
      </c>
      <c r="K216" s="52"/>
    </row>
    <row r="217" spans="1:11" ht="30.85" customHeight="1" x14ac:dyDescent="0.45">
      <c r="A217" s="8" t="s">
        <v>204</v>
      </c>
      <c r="B217" s="22" t="s">
        <v>385</v>
      </c>
      <c r="C217" s="10"/>
      <c r="D217" s="35">
        <f t="shared" si="141"/>
        <v>20</v>
      </c>
      <c r="E217" s="17"/>
      <c r="F217" s="17"/>
      <c r="G217" s="17">
        <v>20</v>
      </c>
      <c r="H217" s="409">
        <f t="shared" si="145"/>
        <v>2</v>
      </c>
      <c r="I217" s="409">
        <f t="shared" si="143"/>
        <v>1.8</v>
      </c>
      <c r="J217" s="17">
        <f t="shared" si="144"/>
        <v>16.2</v>
      </c>
      <c r="K217" s="52"/>
    </row>
    <row r="218" spans="1:11" ht="20.75" customHeight="1" x14ac:dyDescent="0.45">
      <c r="A218" s="8" t="s">
        <v>204</v>
      </c>
      <c r="B218" s="22" t="s">
        <v>913</v>
      </c>
      <c r="C218" s="10"/>
      <c r="D218" s="35">
        <f t="shared" si="141"/>
        <v>180</v>
      </c>
      <c r="E218" s="17"/>
      <c r="F218" s="17"/>
      <c r="G218" s="17">
        <v>180</v>
      </c>
      <c r="H218" s="409">
        <f t="shared" ref="H218" si="146">(F218+G218)*10%</f>
        <v>18</v>
      </c>
      <c r="I218" s="409">
        <f t="shared" ref="I218" si="147">(F218+G218-H218)*10%</f>
        <v>16.2</v>
      </c>
      <c r="J218" s="17">
        <f t="shared" si="144"/>
        <v>145.80000000000001</v>
      </c>
      <c r="K218" s="52"/>
    </row>
    <row r="219" spans="1:11" ht="20.75" customHeight="1" x14ac:dyDescent="0.45">
      <c r="A219" s="8" t="s">
        <v>204</v>
      </c>
      <c r="B219" s="22" t="s">
        <v>371</v>
      </c>
      <c r="C219" s="10"/>
      <c r="D219" s="35">
        <f t="shared" si="141"/>
        <v>30</v>
      </c>
      <c r="E219" s="17"/>
      <c r="F219" s="17"/>
      <c r="G219" s="17">
        <v>30</v>
      </c>
      <c r="H219" s="409">
        <f t="shared" si="145"/>
        <v>3</v>
      </c>
      <c r="I219" s="409">
        <f t="shared" si="143"/>
        <v>2.7</v>
      </c>
      <c r="J219" s="17">
        <f t="shared" si="144"/>
        <v>24.3</v>
      </c>
      <c r="K219" s="52"/>
    </row>
    <row r="220" spans="1:11" ht="20.75" customHeight="1" x14ac:dyDescent="0.45">
      <c r="A220" s="8" t="s">
        <v>204</v>
      </c>
      <c r="B220" s="22" t="s">
        <v>372</v>
      </c>
      <c r="C220" s="10"/>
      <c r="D220" s="35">
        <f t="shared" si="141"/>
        <v>30</v>
      </c>
      <c r="E220" s="17"/>
      <c r="F220" s="17"/>
      <c r="G220" s="17">
        <v>30</v>
      </c>
      <c r="H220" s="409">
        <f t="shared" si="145"/>
        <v>3</v>
      </c>
      <c r="I220" s="409">
        <f t="shared" si="143"/>
        <v>2.7</v>
      </c>
      <c r="J220" s="17">
        <f t="shared" si="144"/>
        <v>24.3</v>
      </c>
      <c r="K220" s="52"/>
    </row>
    <row r="221" spans="1:11" s="20" customFormat="1" ht="20.75" customHeight="1" x14ac:dyDescent="0.45">
      <c r="A221" s="8">
        <v>2</v>
      </c>
      <c r="B221" s="19" t="s">
        <v>283</v>
      </c>
      <c r="C221" s="10"/>
      <c r="D221" s="30">
        <f>SUM(D222:D227)</f>
        <v>1394</v>
      </c>
      <c r="E221" s="30">
        <f t="shared" ref="E221:J221" si="148">SUM(E222:E227)</f>
        <v>0</v>
      </c>
      <c r="F221" s="30">
        <f t="shared" si="148"/>
        <v>0</v>
      </c>
      <c r="G221" s="30">
        <f t="shared" si="148"/>
        <v>1394</v>
      </c>
      <c r="H221" s="410">
        <f t="shared" si="148"/>
        <v>139.4</v>
      </c>
      <c r="I221" s="410">
        <f t="shared" si="148"/>
        <v>125.45999999999998</v>
      </c>
      <c r="J221" s="30">
        <f t="shared" si="148"/>
        <v>1129.1400000000001</v>
      </c>
      <c r="K221" s="52"/>
    </row>
    <row r="222" spans="1:11" ht="20.75" customHeight="1" x14ac:dyDescent="0.45">
      <c r="A222" s="8" t="s">
        <v>204</v>
      </c>
      <c r="B222" s="22" t="s">
        <v>374</v>
      </c>
      <c r="C222" s="10"/>
      <c r="D222" s="35">
        <f t="shared" ref="D222:D227" si="149">SUM(E222:G222)</f>
        <v>20</v>
      </c>
      <c r="E222" s="17"/>
      <c r="F222" s="17"/>
      <c r="G222" s="17">
        <v>20</v>
      </c>
      <c r="H222" s="409">
        <f t="shared" ref="H222:H231" si="150">(F222+G222)*10%</f>
        <v>2</v>
      </c>
      <c r="I222" s="409">
        <f t="shared" si="143"/>
        <v>1.8</v>
      </c>
      <c r="J222" s="17">
        <f t="shared" si="144"/>
        <v>16.2</v>
      </c>
      <c r="K222" s="52"/>
    </row>
    <row r="223" spans="1:11" ht="30" customHeight="1" x14ac:dyDescent="0.45">
      <c r="A223" s="8" t="s">
        <v>204</v>
      </c>
      <c r="B223" s="22" t="s">
        <v>375</v>
      </c>
      <c r="C223" s="10"/>
      <c r="D223" s="35">
        <f t="shared" si="149"/>
        <v>25</v>
      </c>
      <c r="E223" s="17"/>
      <c r="F223" s="17"/>
      <c r="G223" s="17">
        <v>25</v>
      </c>
      <c r="H223" s="409">
        <f t="shared" si="150"/>
        <v>2.5</v>
      </c>
      <c r="I223" s="409">
        <f t="shared" si="143"/>
        <v>2.25</v>
      </c>
      <c r="J223" s="17">
        <f t="shared" si="144"/>
        <v>20.25</v>
      </c>
      <c r="K223" s="52"/>
    </row>
    <row r="224" spans="1:11" ht="26.35" customHeight="1" x14ac:dyDescent="0.45">
      <c r="A224" s="8" t="s">
        <v>204</v>
      </c>
      <c r="B224" s="22" t="s">
        <v>377</v>
      </c>
      <c r="C224" s="10"/>
      <c r="D224" s="35">
        <f t="shared" si="149"/>
        <v>100</v>
      </c>
      <c r="E224" s="17"/>
      <c r="F224" s="17"/>
      <c r="G224" s="17">
        <v>100</v>
      </c>
      <c r="H224" s="409">
        <f t="shared" si="150"/>
        <v>10</v>
      </c>
      <c r="I224" s="409">
        <f t="shared" si="143"/>
        <v>9</v>
      </c>
      <c r="J224" s="17">
        <f t="shared" si="144"/>
        <v>81</v>
      </c>
      <c r="K224" s="52"/>
    </row>
    <row r="225" spans="1:13" ht="26.35" customHeight="1" x14ac:dyDescent="0.45">
      <c r="A225" s="8" t="s">
        <v>204</v>
      </c>
      <c r="B225" s="22" t="s">
        <v>948</v>
      </c>
      <c r="C225" s="10"/>
      <c r="D225" s="35">
        <f t="shared" si="149"/>
        <v>1214</v>
      </c>
      <c r="E225" s="17"/>
      <c r="F225" s="17"/>
      <c r="G225" s="17">
        <v>1214</v>
      </c>
      <c r="H225" s="409">
        <f t="shared" si="150"/>
        <v>121.4</v>
      </c>
      <c r="I225" s="409">
        <f t="shared" si="143"/>
        <v>109.25999999999999</v>
      </c>
      <c r="J225" s="17">
        <f t="shared" si="144"/>
        <v>983.33999999999992</v>
      </c>
      <c r="K225" s="52"/>
    </row>
    <row r="226" spans="1:13" ht="26.35" customHeight="1" x14ac:dyDescent="0.45">
      <c r="A226" s="8" t="s">
        <v>204</v>
      </c>
      <c r="B226" s="22" t="s">
        <v>378</v>
      </c>
      <c r="C226" s="10"/>
      <c r="D226" s="35">
        <f t="shared" si="149"/>
        <v>15</v>
      </c>
      <c r="E226" s="17"/>
      <c r="F226" s="17"/>
      <c r="G226" s="17">
        <v>15</v>
      </c>
      <c r="H226" s="409">
        <f t="shared" si="150"/>
        <v>1.5</v>
      </c>
      <c r="I226" s="409">
        <f t="shared" si="143"/>
        <v>1.35</v>
      </c>
      <c r="J226" s="17">
        <f t="shared" si="144"/>
        <v>12.15</v>
      </c>
      <c r="K226" s="52"/>
    </row>
    <row r="227" spans="1:13" ht="30" customHeight="1" x14ac:dyDescent="0.45">
      <c r="A227" s="8" t="s">
        <v>204</v>
      </c>
      <c r="B227" s="22" t="s">
        <v>376</v>
      </c>
      <c r="C227" s="10"/>
      <c r="D227" s="35">
        <f t="shared" si="149"/>
        <v>20</v>
      </c>
      <c r="E227" s="17"/>
      <c r="F227" s="17"/>
      <c r="G227" s="17">
        <v>20</v>
      </c>
      <c r="H227" s="409">
        <f t="shared" si="150"/>
        <v>2</v>
      </c>
      <c r="I227" s="409">
        <f t="shared" si="143"/>
        <v>1.8</v>
      </c>
      <c r="J227" s="17">
        <f t="shared" si="144"/>
        <v>16.2</v>
      </c>
      <c r="K227" s="52"/>
    </row>
    <row r="228" spans="1:13" s="20" customFormat="1" x14ac:dyDescent="0.45">
      <c r="A228" s="8" t="s">
        <v>163</v>
      </c>
      <c r="B228" s="9" t="s">
        <v>286</v>
      </c>
      <c r="C228" s="10"/>
      <c r="D228" s="11">
        <f>D229+D230</f>
        <v>720</v>
      </c>
      <c r="E228" s="11">
        <f t="shared" ref="E228:J228" si="151">E229+E230</f>
        <v>0</v>
      </c>
      <c r="F228" s="11">
        <f t="shared" si="151"/>
        <v>0</v>
      </c>
      <c r="G228" s="11">
        <f t="shared" si="151"/>
        <v>720</v>
      </c>
      <c r="H228" s="23">
        <f t="shared" si="151"/>
        <v>72</v>
      </c>
      <c r="I228" s="23">
        <f t="shared" si="151"/>
        <v>64.8</v>
      </c>
      <c r="J228" s="11">
        <f t="shared" si="151"/>
        <v>583.20000000000005</v>
      </c>
      <c r="K228" s="379"/>
    </row>
    <row r="229" spans="1:13" ht="29.35" customHeight="1" x14ac:dyDescent="0.45">
      <c r="A229" s="25">
        <v>1</v>
      </c>
      <c r="B229" s="19" t="s">
        <v>287</v>
      </c>
      <c r="C229" s="10"/>
      <c r="D229" s="35">
        <f t="shared" ref="D229:D232" si="152">SUM(E229:G229)</f>
        <v>20</v>
      </c>
      <c r="E229" s="17"/>
      <c r="F229" s="17"/>
      <c r="G229" s="17">
        <v>20</v>
      </c>
      <c r="H229" s="409">
        <f t="shared" si="150"/>
        <v>2</v>
      </c>
      <c r="I229" s="409">
        <f t="shared" si="143"/>
        <v>1.8</v>
      </c>
      <c r="J229" s="17">
        <f t="shared" si="144"/>
        <v>16.2</v>
      </c>
      <c r="K229" s="52"/>
    </row>
    <row r="230" spans="1:13" s="20" customFormat="1" ht="25.5" x14ac:dyDescent="0.45">
      <c r="A230" s="25">
        <v>2</v>
      </c>
      <c r="B230" s="19" t="s">
        <v>914</v>
      </c>
      <c r="C230" s="10"/>
      <c r="D230" s="30">
        <f>D231</f>
        <v>700</v>
      </c>
      <c r="E230" s="30">
        <f t="shared" ref="E230:J230" si="153">E231</f>
        <v>0</v>
      </c>
      <c r="F230" s="30">
        <f t="shared" si="153"/>
        <v>0</v>
      </c>
      <c r="G230" s="30">
        <f t="shared" si="153"/>
        <v>700</v>
      </c>
      <c r="H230" s="410">
        <f t="shared" si="153"/>
        <v>70</v>
      </c>
      <c r="I230" s="410">
        <f t="shared" si="153"/>
        <v>63</v>
      </c>
      <c r="J230" s="30">
        <f t="shared" si="153"/>
        <v>567</v>
      </c>
      <c r="K230" s="52"/>
    </row>
    <row r="231" spans="1:13" ht="33.4" customHeight="1" x14ac:dyDescent="0.45">
      <c r="A231" s="15" t="s">
        <v>204</v>
      </c>
      <c r="B231" s="22" t="s">
        <v>370</v>
      </c>
      <c r="C231" s="10"/>
      <c r="D231" s="35">
        <f t="shared" si="152"/>
        <v>700</v>
      </c>
      <c r="E231" s="17"/>
      <c r="F231" s="17"/>
      <c r="G231" s="17">
        <v>700</v>
      </c>
      <c r="H231" s="409">
        <f t="shared" si="150"/>
        <v>70</v>
      </c>
      <c r="I231" s="409">
        <f t="shared" si="143"/>
        <v>63</v>
      </c>
      <c r="J231" s="17">
        <f t="shared" si="144"/>
        <v>567</v>
      </c>
      <c r="K231" s="52"/>
    </row>
    <row r="232" spans="1:13" ht="42.85" customHeight="1" x14ac:dyDescent="0.45">
      <c r="A232" s="25" t="s">
        <v>288</v>
      </c>
      <c r="B232" s="9" t="s">
        <v>972</v>
      </c>
      <c r="C232" s="10"/>
      <c r="D232" s="30">
        <f t="shared" si="152"/>
        <v>300</v>
      </c>
      <c r="E232" s="14"/>
      <c r="F232" s="14"/>
      <c r="G232" s="14">
        <v>300</v>
      </c>
      <c r="H232" s="408"/>
      <c r="I232" s="408"/>
      <c r="J232" s="14">
        <f t="shared" ref="J232" si="154">D232-H232</f>
        <v>300</v>
      </c>
      <c r="K232" s="52"/>
    </row>
    <row r="233" spans="1:13" x14ac:dyDescent="0.45">
      <c r="A233" s="8" t="s">
        <v>289</v>
      </c>
      <c r="B233" s="9" t="s">
        <v>940</v>
      </c>
      <c r="C233" s="36">
        <f t="shared" ref="C233:J233" si="155">C234+C241</f>
        <v>3</v>
      </c>
      <c r="D233" s="23">
        <f t="shared" si="155"/>
        <v>1041.692</v>
      </c>
      <c r="E233" s="23">
        <f t="shared" si="155"/>
        <v>492.892</v>
      </c>
      <c r="F233" s="23">
        <f t="shared" si="155"/>
        <v>118.8</v>
      </c>
      <c r="G233" s="23">
        <f t="shared" si="155"/>
        <v>430</v>
      </c>
      <c r="H233" s="23">
        <f t="shared" si="155"/>
        <v>54.88</v>
      </c>
      <c r="I233" s="23">
        <f t="shared" si="155"/>
        <v>49.391999999999996</v>
      </c>
      <c r="J233" s="23">
        <f t="shared" si="155"/>
        <v>937.42</v>
      </c>
      <c r="K233" s="52"/>
    </row>
    <row r="234" spans="1:13" x14ac:dyDescent="0.45">
      <c r="A234" s="8">
        <v>1</v>
      </c>
      <c r="B234" s="9" t="s">
        <v>306</v>
      </c>
      <c r="C234" s="36">
        <v>3</v>
      </c>
      <c r="D234" s="11">
        <f t="shared" ref="D234:J234" si="156">SUM(D235:D240)</f>
        <v>841.69200000000001</v>
      </c>
      <c r="E234" s="11">
        <f t="shared" si="156"/>
        <v>492.892</v>
      </c>
      <c r="F234" s="11">
        <f t="shared" si="156"/>
        <v>118.8</v>
      </c>
      <c r="G234" s="11">
        <f t="shared" si="156"/>
        <v>230</v>
      </c>
      <c r="H234" s="23">
        <f t="shared" si="156"/>
        <v>34.880000000000003</v>
      </c>
      <c r="I234" s="23">
        <f t="shared" si="156"/>
        <v>31.391999999999999</v>
      </c>
      <c r="J234" s="11">
        <f t="shared" si="156"/>
        <v>775.42</v>
      </c>
      <c r="K234" s="52"/>
    </row>
    <row r="235" spans="1:13" ht="26.25" x14ac:dyDescent="0.45">
      <c r="A235" s="8" t="s">
        <v>204</v>
      </c>
      <c r="B235" s="22" t="s">
        <v>205</v>
      </c>
      <c r="C235" s="10"/>
      <c r="D235" s="35">
        <f t="shared" ref="D235:D244" si="157">SUM(E235:G235)</f>
        <v>597.31600000000003</v>
      </c>
      <c r="E235" s="35">
        <v>478.51600000000002</v>
      </c>
      <c r="F235" s="17">
        <f>C234*33*1.2</f>
        <v>118.8</v>
      </c>
      <c r="G235" s="11"/>
      <c r="H235" s="409">
        <f t="shared" ref="H235" si="158">(F235+G235)*10%</f>
        <v>11.88</v>
      </c>
      <c r="I235" s="409">
        <f t="shared" ref="I235:I243" si="159">(F235+G235-H235)*10%</f>
        <v>10.692</v>
      </c>
      <c r="J235" s="17">
        <f t="shared" ref="J235:J245" si="160">D235-H235-I235</f>
        <v>574.74400000000003</v>
      </c>
      <c r="K235" s="405"/>
      <c r="M235" s="13"/>
    </row>
    <row r="236" spans="1:13" x14ac:dyDescent="0.45">
      <c r="A236" s="8" t="s">
        <v>204</v>
      </c>
      <c r="B236" s="22" t="s">
        <v>206</v>
      </c>
      <c r="C236" s="10"/>
      <c r="D236" s="35">
        <f t="shared" si="157"/>
        <v>14.375999999999999</v>
      </c>
      <c r="E236" s="35">
        <v>14.375999999999999</v>
      </c>
      <c r="F236" s="11"/>
      <c r="G236" s="11"/>
      <c r="H236" s="409"/>
      <c r="I236" s="409">
        <f t="shared" si="159"/>
        <v>0</v>
      </c>
      <c r="J236" s="17">
        <f t="shared" si="160"/>
        <v>14.375999999999999</v>
      </c>
      <c r="K236" s="405"/>
      <c r="M236" s="13"/>
    </row>
    <row r="237" spans="1:13" x14ac:dyDescent="0.45">
      <c r="A237" s="8" t="s">
        <v>204</v>
      </c>
      <c r="B237" s="22" t="s">
        <v>971</v>
      </c>
      <c r="C237" s="10"/>
      <c r="D237" s="35">
        <f t="shared" si="157"/>
        <v>50</v>
      </c>
      <c r="E237" s="35"/>
      <c r="F237" s="11"/>
      <c r="G237" s="50">
        <v>50</v>
      </c>
      <c r="H237" s="409">
        <f t="shared" ref="H237:H243" si="161">(F237+G237)*10%</f>
        <v>5</v>
      </c>
      <c r="I237" s="409">
        <f t="shared" si="159"/>
        <v>4.5</v>
      </c>
      <c r="J237" s="17">
        <f t="shared" si="160"/>
        <v>40.5</v>
      </c>
      <c r="K237" s="405"/>
      <c r="M237" s="13"/>
    </row>
    <row r="238" spans="1:13" x14ac:dyDescent="0.45">
      <c r="A238" s="8" t="s">
        <v>204</v>
      </c>
      <c r="B238" s="22" t="s">
        <v>380</v>
      </c>
      <c r="C238" s="10"/>
      <c r="D238" s="35">
        <f t="shared" si="157"/>
        <v>120</v>
      </c>
      <c r="E238" s="35"/>
      <c r="F238" s="11"/>
      <c r="G238" s="50">
        <v>120</v>
      </c>
      <c r="H238" s="409">
        <f t="shared" si="161"/>
        <v>12</v>
      </c>
      <c r="I238" s="409">
        <f t="shared" si="159"/>
        <v>10.8</v>
      </c>
      <c r="J238" s="17">
        <f t="shared" si="160"/>
        <v>97.2</v>
      </c>
      <c r="K238" s="405"/>
      <c r="M238" s="13"/>
    </row>
    <row r="239" spans="1:13" x14ac:dyDescent="0.45">
      <c r="A239" s="8" t="s">
        <v>204</v>
      </c>
      <c r="B239" s="22" t="s">
        <v>381</v>
      </c>
      <c r="C239" s="10"/>
      <c r="D239" s="35">
        <f t="shared" si="157"/>
        <v>30</v>
      </c>
      <c r="E239" s="17"/>
      <c r="F239" s="17"/>
      <c r="G239" s="17">
        <v>30</v>
      </c>
      <c r="H239" s="409">
        <f t="shared" si="161"/>
        <v>3</v>
      </c>
      <c r="I239" s="409">
        <f t="shared" si="159"/>
        <v>2.7</v>
      </c>
      <c r="J239" s="17">
        <f t="shared" si="160"/>
        <v>24.3</v>
      </c>
      <c r="K239" s="52"/>
    </row>
    <row r="240" spans="1:13" ht="26.25" x14ac:dyDescent="0.45">
      <c r="A240" s="8" t="s">
        <v>204</v>
      </c>
      <c r="B240" s="22" t="s">
        <v>961</v>
      </c>
      <c r="C240" s="10"/>
      <c r="D240" s="35">
        <f t="shared" si="157"/>
        <v>30</v>
      </c>
      <c r="E240" s="17"/>
      <c r="F240" s="17"/>
      <c r="G240" s="17">
        <v>30</v>
      </c>
      <c r="H240" s="409">
        <f t="shared" si="161"/>
        <v>3</v>
      </c>
      <c r="I240" s="409">
        <f t="shared" si="159"/>
        <v>2.7</v>
      </c>
      <c r="J240" s="17">
        <f>D240-H240-I240</f>
        <v>24.3</v>
      </c>
      <c r="K240" s="52"/>
    </row>
    <row r="241" spans="1:11" s="20" customFormat="1" ht="13.25" customHeight="1" x14ac:dyDescent="0.45">
      <c r="A241" s="8">
        <v>2</v>
      </c>
      <c r="B241" s="19" t="s">
        <v>307</v>
      </c>
      <c r="C241" s="10"/>
      <c r="D241" s="30">
        <f>SUM(D242:D243)</f>
        <v>200</v>
      </c>
      <c r="E241" s="30">
        <f t="shared" ref="E241:J241" si="162">SUM(E242:E243)</f>
        <v>0</v>
      </c>
      <c r="F241" s="30">
        <f t="shared" si="162"/>
        <v>0</v>
      </c>
      <c r="G241" s="30">
        <f t="shared" si="162"/>
        <v>200</v>
      </c>
      <c r="H241" s="410">
        <f t="shared" si="162"/>
        <v>20</v>
      </c>
      <c r="I241" s="410">
        <f t="shared" si="162"/>
        <v>18</v>
      </c>
      <c r="J241" s="30">
        <f t="shared" si="162"/>
        <v>162</v>
      </c>
      <c r="K241" s="52"/>
    </row>
    <row r="242" spans="1:11" s="38" customFormat="1" ht="65.650000000000006" x14ac:dyDescent="0.45">
      <c r="A242" s="21" t="s">
        <v>204</v>
      </c>
      <c r="B242" s="22" t="s">
        <v>962</v>
      </c>
      <c r="C242" s="10"/>
      <c r="D242" s="35">
        <f t="shared" si="157"/>
        <v>100</v>
      </c>
      <c r="E242" s="37"/>
      <c r="F242" s="37"/>
      <c r="G242" s="17">
        <v>100</v>
      </c>
      <c r="H242" s="409">
        <f t="shared" si="161"/>
        <v>10</v>
      </c>
      <c r="I242" s="409">
        <f t="shared" si="159"/>
        <v>9</v>
      </c>
      <c r="J242" s="17">
        <f>D242-H242-I242</f>
        <v>81</v>
      </c>
      <c r="K242" s="52"/>
    </row>
    <row r="243" spans="1:11" s="38" customFormat="1" x14ac:dyDescent="0.45">
      <c r="A243" s="21" t="s">
        <v>204</v>
      </c>
      <c r="B243" s="22" t="s">
        <v>290</v>
      </c>
      <c r="C243" s="10"/>
      <c r="D243" s="35">
        <f t="shared" si="157"/>
        <v>100</v>
      </c>
      <c r="E243" s="37"/>
      <c r="F243" s="37"/>
      <c r="G243" s="17">
        <v>100</v>
      </c>
      <c r="H243" s="409">
        <f t="shared" si="161"/>
        <v>10</v>
      </c>
      <c r="I243" s="409">
        <f t="shared" si="159"/>
        <v>9</v>
      </c>
      <c r="J243" s="17">
        <f>D243-H243-I243</f>
        <v>81</v>
      </c>
      <c r="K243" s="376"/>
    </row>
    <row r="244" spans="1:11" s="20" customFormat="1" ht="33.4" customHeight="1" x14ac:dyDescent="0.45">
      <c r="A244" s="25" t="s">
        <v>291</v>
      </c>
      <c r="B244" s="19" t="s">
        <v>919</v>
      </c>
      <c r="C244" s="10"/>
      <c r="D244" s="384">
        <f t="shared" si="157"/>
        <v>200</v>
      </c>
      <c r="E244" s="14"/>
      <c r="F244" s="14"/>
      <c r="G244" s="14">
        <v>200</v>
      </c>
      <c r="H244" s="409"/>
      <c r="I244" s="409"/>
      <c r="J244" s="14">
        <f t="shared" si="160"/>
        <v>200</v>
      </c>
      <c r="K244" s="52"/>
    </row>
    <row r="245" spans="1:11" ht="42.85" customHeight="1" x14ac:dyDescent="0.45">
      <c r="A245" s="39" t="s">
        <v>292</v>
      </c>
      <c r="B245" s="40" t="s">
        <v>920</v>
      </c>
      <c r="C245" s="406"/>
      <c r="D245" s="41">
        <f>SUM(E245:G245)</f>
        <v>2213</v>
      </c>
      <c r="E245" s="41"/>
      <c r="F245" s="41"/>
      <c r="G245" s="41">
        <v>2213</v>
      </c>
      <c r="H245" s="411"/>
      <c r="I245" s="411"/>
      <c r="J245" s="41">
        <f t="shared" si="160"/>
        <v>2213</v>
      </c>
      <c r="K245" s="380"/>
    </row>
    <row r="246" spans="1:11" x14ac:dyDescent="0.45">
      <c r="B246" s="42"/>
      <c r="C246" s="43"/>
      <c r="D246" s="44"/>
      <c r="E246" s="45"/>
      <c r="F246" s="45"/>
      <c r="G246" s="45"/>
      <c r="H246" s="412"/>
      <c r="I246" s="412"/>
      <c r="J246" s="45"/>
      <c r="K246" s="381"/>
    </row>
    <row r="247" spans="1:11" x14ac:dyDescent="0.45">
      <c r="A247" s="46"/>
      <c r="D247" s="48"/>
    </row>
    <row r="248" spans="1:11" x14ac:dyDescent="0.45">
      <c r="D248" s="49"/>
    </row>
    <row r="249" spans="1:11" x14ac:dyDescent="0.45">
      <c r="D249" s="49"/>
    </row>
    <row r="252" spans="1:11" x14ac:dyDescent="0.45">
      <c r="C252" s="3"/>
    </row>
    <row r="253" spans="1:11" x14ac:dyDescent="0.45">
      <c r="A253" s="3"/>
      <c r="C253" s="3"/>
    </row>
    <row r="254" spans="1:11" x14ac:dyDescent="0.45">
      <c r="A254" s="3"/>
    </row>
  </sheetData>
  <mergeCells count="16">
    <mergeCell ref="I4:I6"/>
    <mergeCell ref="G3:K3"/>
    <mergeCell ref="K4:K6"/>
    <mergeCell ref="J1:K1"/>
    <mergeCell ref="A1:B1"/>
    <mergeCell ref="A2:K2"/>
    <mergeCell ref="J4:J6"/>
    <mergeCell ref="D5:D6"/>
    <mergeCell ref="E5:E6"/>
    <mergeCell ref="F5:F6"/>
    <mergeCell ref="G5:G6"/>
    <mergeCell ref="A4:A6"/>
    <mergeCell ref="B4:B6"/>
    <mergeCell ref="C4:C6"/>
    <mergeCell ref="D4:G4"/>
    <mergeCell ref="H4:H6"/>
  </mergeCell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D12"/>
  <sheetViews>
    <sheetView workbookViewId="0">
      <selection activeCell="C12" sqref="C12"/>
    </sheetView>
  </sheetViews>
  <sheetFormatPr defaultRowHeight="14.25" x14ac:dyDescent="0.45"/>
  <cols>
    <col min="2" max="2" width="40.86328125" customWidth="1"/>
    <col min="5" max="5" width="23.1328125" customWidth="1"/>
  </cols>
  <sheetData>
    <row r="8" spans="2:4" x14ac:dyDescent="0.45">
      <c r="B8" t="s">
        <v>927</v>
      </c>
      <c r="C8">
        <v>200.4</v>
      </c>
      <c r="D8" t="s">
        <v>926</v>
      </c>
    </row>
    <row r="9" spans="2:4" x14ac:dyDescent="0.45">
      <c r="B9" t="s">
        <v>928</v>
      </c>
      <c r="C9">
        <v>20.399999999999999</v>
      </c>
      <c r="D9" t="s">
        <v>926</v>
      </c>
    </row>
    <row r="10" spans="2:4" x14ac:dyDescent="0.45">
      <c r="B10" t="s">
        <v>929</v>
      </c>
      <c r="C10">
        <v>180</v>
      </c>
      <c r="D10" t="s">
        <v>926</v>
      </c>
    </row>
    <row r="11" spans="2:4" x14ac:dyDescent="0.45">
      <c r="B11" t="s">
        <v>925</v>
      </c>
      <c r="C11">
        <v>1.1399999999999999</v>
      </c>
      <c r="D11" t="s">
        <v>930</v>
      </c>
    </row>
    <row r="12" spans="2:4" x14ac:dyDescent="0.45">
      <c r="B12" t="s">
        <v>931</v>
      </c>
      <c r="C12" s="361">
        <f>C8*C11</f>
        <v>228.45599999999999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15" sqref="B15:B20"/>
    </sheetView>
  </sheetViews>
  <sheetFormatPr defaultColWidth="11.265625" defaultRowHeight="12.75" x14ac:dyDescent="0.35"/>
  <cols>
    <col min="1" max="1" width="6.86328125" style="222" customWidth="1"/>
    <col min="2" max="2" width="61.73046875" style="181" customWidth="1"/>
    <col min="3" max="3" width="15.06640625" style="181" customWidth="1"/>
    <col min="4" max="4" width="14.06640625" style="181" customWidth="1"/>
    <col min="5" max="5" width="18.6640625" style="181" customWidth="1"/>
    <col min="6" max="6" width="17.1328125" style="181" customWidth="1"/>
    <col min="7" max="16384" width="11.265625" style="181"/>
  </cols>
  <sheetData>
    <row r="1" spans="1:6" x14ac:dyDescent="0.35">
      <c r="A1" s="517" t="s">
        <v>60</v>
      </c>
      <c r="B1" s="517"/>
      <c r="D1" s="182"/>
      <c r="E1" s="183" t="s">
        <v>909</v>
      </c>
    </row>
    <row r="2" spans="1:6" x14ac:dyDescent="0.35">
      <c r="A2" s="184"/>
      <c r="B2" s="185"/>
      <c r="C2" s="518"/>
      <c r="D2" s="518"/>
      <c r="E2" s="186"/>
    </row>
    <row r="3" spans="1:6" x14ac:dyDescent="0.35">
      <c r="A3" s="519" t="s">
        <v>297</v>
      </c>
      <c r="B3" s="519"/>
      <c r="C3" s="519"/>
      <c r="D3" s="519"/>
      <c r="E3" s="519"/>
    </row>
    <row r="4" spans="1:6" ht="13.15" hidden="1" x14ac:dyDescent="0.35">
      <c r="A4" s="520" t="e">
        <f>'[1]DT chi cân đối NS huyện'!#REF!</f>
        <v>#REF!</v>
      </c>
      <c r="B4" s="520"/>
      <c r="C4" s="520"/>
      <c r="D4" s="520"/>
      <c r="E4" s="187"/>
    </row>
    <row r="5" spans="1:6" ht="13.15" x14ac:dyDescent="0.4">
      <c r="A5" s="188"/>
      <c r="B5" s="189"/>
      <c r="C5" s="516" t="s">
        <v>61</v>
      </c>
      <c r="D5" s="516"/>
      <c r="E5" s="516"/>
    </row>
    <row r="6" spans="1:6" x14ac:dyDescent="0.35">
      <c r="A6" s="190" t="s">
        <v>64</v>
      </c>
      <c r="B6" s="190" t="s">
        <v>193</v>
      </c>
      <c r="C6" s="190" t="s">
        <v>293</v>
      </c>
      <c r="D6" s="190" t="s">
        <v>294</v>
      </c>
      <c r="E6" s="190" t="s">
        <v>160</v>
      </c>
    </row>
    <row r="7" spans="1:6" s="192" customFormat="1" ht="13.15" x14ac:dyDescent="0.35">
      <c r="A7" s="191">
        <v>1</v>
      </c>
      <c r="B7" s="191">
        <v>2</v>
      </c>
      <c r="C7" s="191">
        <v>3</v>
      </c>
      <c r="D7" s="191">
        <v>4</v>
      </c>
      <c r="E7" s="191">
        <v>5</v>
      </c>
    </row>
    <row r="8" spans="1:6" s="192" customFormat="1" x14ac:dyDescent="0.35">
      <c r="A8" s="193"/>
      <c r="B8" s="194" t="s">
        <v>295</v>
      </c>
      <c r="C8" s="195">
        <f>C9+C33</f>
        <v>7468</v>
      </c>
      <c r="D8" s="195">
        <f>D9+D33</f>
        <v>7468</v>
      </c>
      <c r="E8" s="193"/>
    </row>
    <row r="9" spans="1:6" x14ac:dyDescent="0.35">
      <c r="A9" s="194" t="s">
        <v>35</v>
      </c>
      <c r="B9" s="196" t="s">
        <v>186</v>
      </c>
      <c r="C9" s="195">
        <f>C10+C12</f>
        <v>7468</v>
      </c>
      <c r="D9" s="195">
        <f>D10+D12</f>
        <v>7468</v>
      </c>
      <c r="E9" s="197"/>
    </row>
    <row r="10" spans="1:6" x14ac:dyDescent="0.35">
      <c r="A10" s="194" t="s">
        <v>163</v>
      </c>
      <c r="B10" s="196" t="s">
        <v>296</v>
      </c>
      <c r="C10" s="195">
        <f>C11</f>
        <v>0</v>
      </c>
      <c r="D10" s="195">
        <f>D11</f>
        <v>0</v>
      </c>
      <c r="E10" s="197"/>
      <c r="F10" s="198"/>
    </row>
    <row r="11" spans="1:6" s="204" customFormat="1" ht="13.15" hidden="1" x14ac:dyDescent="0.4">
      <c r="A11" s="199"/>
      <c r="B11" s="200"/>
      <c r="C11" s="201"/>
      <c r="D11" s="202"/>
      <c r="E11" s="203"/>
    </row>
    <row r="12" spans="1:6" x14ac:dyDescent="0.35">
      <c r="A12" s="194" t="s">
        <v>166</v>
      </c>
      <c r="B12" s="196" t="s">
        <v>189</v>
      </c>
      <c r="C12" s="195">
        <f>SUM(C13:C14)+SUM(C21:C32)</f>
        <v>7468</v>
      </c>
      <c r="D12" s="195">
        <f>SUM(D13:D14)+SUM(D21:D32)</f>
        <v>7468</v>
      </c>
      <c r="E12" s="197"/>
    </row>
    <row r="13" spans="1:6" ht="26.25" x14ac:dyDescent="0.35">
      <c r="A13" s="205">
        <v>1</v>
      </c>
      <c r="B13" s="206" t="s">
        <v>335</v>
      </c>
      <c r="C13" s="201">
        <v>166</v>
      </c>
      <c r="D13" s="201">
        <v>166</v>
      </c>
      <c r="E13" s="207"/>
    </row>
    <row r="14" spans="1:6" ht="39.4" x14ac:dyDescent="0.35">
      <c r="A14" s="205">
        <v>2</v>
      </c>
      <c r="B14" s="206" t="s">
        <v>105</v>
      </c>
      <c r="C14" s="201">
        <v>3393</v>
      </c>
      <c r="D14" s="201">
        <v>3393</v>
      </c>
      <c r="E14" s="207"/>
    </row>
    <row r="15" spans="1:6" s="192" customFormat="1" ht="13.15" x14ac:dyDescent="0.35">
      <c r="A15" s="208" t="s">
        <v>204</v>
      </c>
      <c r="B15" s="209" t="s">
        <v>986</v>
      </c>
      <c r="C15" s="210"/>
      <c r="D15" s="210">
        <f>1484.712+44.654-4-2</f>
        <v>1523.366</v>
      </c>
      <c r="E15" s="211"/>
      <c r="F15" s="212"/>
    </row>
    <row r="16" spans="1:6" s="192" customFormat="1" ht="13.15" x14ac:dyDescent="0.35">
      <c r="A16" s="208" t="s">
        <v>204</v>
      </c>
      <c r="B16" s="209" t="s">
        <v>387</v>
      </c>
      <c r="C16" s="210"/>
      <c r="D16" s="210">
        <v>572.83199999999999</v>
      </c>
      <c r="E16" s="211"/>
      <c r="F16" s="213"/>
    </row>
    <row r="17" spans="1:6" s="192" customFormat="1" ht="13.15" x14ac:dyDescent="0.35">
      <c r="A17" s="258" t="s">
        <v>204</v>
      </c>
      <c r="B17" s="263" t="s">
        <v>933</v>
      </c>
      <c r="C17" s="210"/>
      <c r="D17" s="210">
        <v>625.62199999999996</v>
      </c>
      <c r="E17" s="211"/>
      <c r="F17" s="213"/>
    </row>
    <row r="18" spans="1:6" s="192" customFormat="1" ht="13.15" x14ac:dyDescent="0.35">
      <c r="A18" s="208" t="s">
        <v>204</v>
      </c>
      <c r="B18" s="209" t="s">
        <v>386</v>
      </c>
      <c r="C18" s="210"/>
      <c r="D18" s="210">
        <v>238.68</v>
      </c>
      <c r="E18" s="211"/>
      <c r="F18" s="213"/>
    </row>
    <row r="19" spans="1:6" s="192" customFormat="1" ht="26.25" x14ac:dyDescent="0.35">
      <c r="A19" s="208" t="s">
        <v>204</v>
      </c>
      <c r="B19" s="209" t="s">
        <v>990</v>
      </c>
      <c r="C19" s="210"/>
      <c r="D19" s="210">
        <f>1.5*5</f>
        <v>7.5</v>
      </c>
      <c r="E19" s="211"/>
      <c r="F19" s="213"/>
    </row>
    <row r="20" spans="1:6" s="192" customFormat="1" ht="13.15" x14ac:dyDescent="0.35">
      <c r="A20" s="208" t="s">
        <v>204</v>
      </c>
      <c r="B20" s="209" t="s">
        <v>954</v>
      </c>
      <c r="C20" s="210"/>
      <c r="D20" s="210">
        <v>425</v>
      </c>
      <c r="E20" s="211"/>
      <c r="F20" s="213"/>
    </row>
    <row r="21" spans="1:6" ht="39.4" x14ac:dyDescent="0.35">
      <c r="A21" s="205">
        <v>3</v>
      </c>
      <c r="B21" s="206" t="s">
        <v>321</v>
      </c>
      <c r="C21" s="201">
        <v>908</v>
      </c>
      <c r="D21" s="201">
        <v>908</v>
      </c>
      <c r="E21" s="207"/>
    </row>
    <row r="22" spans="1:6" ht="26.25" x14ac:dyDescent="0.35">
      <c r="A22" s="205">
        <v>4</v>
      </c>
      <c r="B22" s="206" t="s">
        <v>328</v>
      </c>
      <c r="C22" s="201">
        <v>60</v>
      </c>
      <c r="D22" s="201">
        <v>60</v>
      </c>
      <c r="E22" s="207"/>
    </row>
    <row r="23" spans="1:6" ht="39.4" x14ac:dyDescent="0.35">
      <c r="A23" s="205">
        <v>5</v>
      </c>
      <c r="B23" s="206" t="s">
        <v>322</v>
      </c>
      <c r="C23" s="201">
        <v>58</v>
      </c>
      <c r="D23" s="201">
        <v>58</v>
      </c>
      <c r="E23" s="207"/>
      <c r="F23" s="214"/>
    </row>
    <row r="24" spans="1:6" ht="13.15" x14ac:dyDescent="0.35">
      <c r="A24" s="205">
        <v>6</v>
      </c>
      <c r="B24" s="206" t="s">
        <v>352</v>
      </c>
      <c r="C24" s="201">
        <v>10</v>
      </c>
      <c r="D24" s="201">
        <v>10</v>
      </c>
      <c r="E24" s="207"/>
      <c r="F24" s="214"/>
    </row>
    <row r="25" spans="1:6" ht="26.25" x14ac:dyDescent="0.35">
      <c r="A25" s="205">
        <v>7</v>
      </c>
      <c r="B25" s="206" t="s">
        <v>323</v>
      </c>
      <c r="C25" s="201">
        <v>20</v>
      </c>
      <c r="D25" s="201">
        <v>20</v>
      </c>
      <c r="E25" s="207"/>
    </row>
    <row r="26" spans="1:6" ht="13.15" x14ac:dyDescent="0.35">
      <c r="A26" s="205">
        <v>8</v>
      </c>
      <c r="B26" s="206" t="s">
        <v>324</v>
      </c>
      <c r="C26" s="201">
        <v>235</v>
      </c>
      <c r="D26" s="201">
        <v>235</v>
      </c>
      <c r="E26" s="207"/>
    </row>
    <row r="27" spans="1:6" ht="13.15" x14ac:dyDescent="0.35">
      <c r="A27" s="205">
        <v>9</v>
      </c>
      <c r="B27" s="206" t="s">
        <v>329</v>
      </c>
      <c r="C27" s="201">
        <v>234</v>
      </c>
      <c r="D27" s="201">
        <v>234</v>
      </c>
      <c r="E27" s="207"/>
    </row>
    <row r="28" spans="1:6" ht="26.25" x14ac:dyDescent="0.35">
      <c r="A28" s="205">
        <v>10</v>
      </c>
      <c r="B28" s="206" t="s">
        <v>325</v>
      </c>
      <c r="C28" s="201">
        <v>50</v>
      </c>
      <c r="D28" s="201">
        <v>50</v>
      </c>
      <c r="E28" s="207"/>
    </row>
    <row r="29" spans="1:6" ht="26.25" x14ac:dyDescent="0.35">
      <c r="A29" s="205">
        <v>11</v>
      </c>
      <c r="B29" s="206" t="s">
        <v>379</v>
      </c>
      <c r="C29" s="201">
        <v>100</v>
      </c>
      <c r="D29" s="201">
        <v>100</v>
      </c>
      <c r="E29" s="207"/>
    </row>
    <row r="30" spans="1:6" ht="13.15" x14ac:dyDescent="0.35">
      <c r="A30" s="205">
        <v>12</v>
      </c>
      <c r="B30" s="206" t="s">
        <v>326</v>
      </c>
      <c r="C30" s="201">
        <v>50</v>
      </c>
      <c r="D30" s="201">
        <v>50</v>
      </c>
      <c r="E30" s="207"/>
    </row>
    <row r="31" spans="1:6" ht="13.15" x14ac:dyDescent="0.35">
      <c r="A31" s="205">
        <v>13</v>
      </c>
      <c r="B31" s="206" t="s">
        <v>327</v>
      </c>
      <c r="C31" s="201">
        <v>90</v>
      </c>
      <c r="D31" s="201">
        <v>90</v>
      </c>
      <c r="E31" s="207"/>
    </row>
    <row r="32" spans="1:6" ht="26.25" x14ac:dyDescent="0.35">
      <c r="A32" s="205">
        <v>14</v>
      </c>
      <c r="B32" s="206" t="s">
        <v>330</v>
      </c>
      <c r="C32" s="201">
        <v>2094</v>
      </c>
      <c r="D32" s="201">
        <v>2094</v>
      </c>
      <c r="E32" s="207"/>
    </row>
    <row r="33" spans="1:5" s="217" customFormat="1" x14ac:dyDescent="0.35">
      <c r="A33" s="215" t="s">
        <v>36</v>
      </c>
      <c r="B33" s="216" t="s">
        <v>192</v>
      </c>
      <c r="C33" s="195">
        <f>C34</f>
        <v>0</v>
      </c>
      <c r="D33" s="195">
        <f>D34</f>
        <v>0</v>
      </c>
      <c r="E33" s="216"/>
    </row>
    <row r="34" spans="1:5" s="204" customFormat="1" ht="13.15" x14ac:dyDescent="0.4">
      <c r="A34" s="218"/>
      <c r="B34" s="219"/>
      <c r="C34" s="220"/>
      <c r="D34" s="220"/>
      <c r="E34" s="221"/>
    </row>
  </sheetData>
  <mergeCells count="5">
    <mergeCell ref="C5:E5"/>
    <mergeCell ref="A1:B1"/>
    <mergeCell ref="C2:D2"/>
    <mergeCell ref="A3:E3"/>
    <mergeCell ref="A4:D4"/>
  </mergeCells>
  <pageMargins left="0.41" right="0.21" top="0.74803149606299213" bottom="0.74803149606299213" header="0.31496062992125984" footer="0.31496062992125984"/>
  <pageSetup paperSize="9"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TH</vt:lpstr>
      <vt:lpstr>B2</vt:lpstr>
      <vt:lpstr>B3</vt:lpstr>
      <vt:lpstr>B4</vt:lpstr>
      <vt:lpstr>B5</vt:lpstr>
      <vt:lpstr>B6</vt:lpstr>
      <vt:lpstr>B7</vt:lpstr>
      <vt:lpstr>Thủy lợi phí</vt:lpstr>
      <vt:lpstr>B8</vt:lpstr>
      <vt:lpstr>DT Tiểu đổi Dân quân TT</vt:lpstr>
      <vt:lpstr>BL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Khoa</dc:creator>
  <cp:lastModifiedBy>Khoa</cp:lastModifiedBy>
  <cp:lastPrinted>2025-12-19T03:15:25Z</cp:lastPrinted>
  <dcterms:created xsi:type="dcterms:W3CDTF">2025-11-27T11:22:47Z</dcterms:created>
  <dcterms:modified xsi:type="dcterms:W3CDTF">2025-12-22T04:17:42Z</dcterms:modified>
</cp:coreProperties>
</file>